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90" yWindow="1215" windowWidth="10950" windowHeight="6465" activeTab="0"/>
  </bookViews>
  <sheets>
    <sheet name="Compiled Data" sheetId="1" r:id="rId1"/>
    <sheet name="chloride" sheetId="2" r:id="rId2"/>
  </sheets>
  <definedNames/>
  <calcPr fullCalcOnLoad="1"/>
</workbook>
</file>

<file path=xl/comments1.xml><?xml version="1.0" encoding="utf-8"?>
<comments xmlns="http://schemas.openxmlformats.org/spreadsheetml/2006/main">
  <authors>
    <author>Kyla Jacobsen</author>
  </authors>
  <commentList>
    <comment ref="N2" authorId="0">
      <text>
        <r>
          <rPr>
            <b/>
            <sz val="8"/>
            <rFont val="Tahoma"/>
            <family val="2"/>
          </rPr>
          <t>Kyla Jacobsen:</t>
        </r>
        <r>
          <rPr>
            <sz val="8"/>
            <rFont val="Tahoma"/>
            <family val="2"/>
          </rPr>
          <t xml:space="preserve">
The Fox River FC sample is collected the following day on the river and the confluence of Tyler Creek</t>
        </r>
      </text>
    </comment>
  </commentList>
</comments>
</file>

<file path=xl/sharedStrings.xml><?xml version="1.0" encoding="utf-8"?>
<sst xmlns="http://schemas.openxmlformats.org/spreadsheetml/2006/main" count="998" uniqueCount="128">
  <si>
    <t>sample</t>
  </si>
  <si>
    <t>Damisch</t>
  </si>
  <si>
    <t>Judson</t>
  </si>
  <si>
    <t>McCornack</t>
  </si>
  <si>
    <t>Highland</t>
  </si>
  <si>
    <t>pH</t>
  </si>
  <si>
    <t>D.O</t>
  </si>
  <si>
    <t>B.O.D</t>
  </si>
  <si>
    <t>Chloride</t>
  </si>
  <si>
    <t>Temp</t>
  </si>
  <si>
    <t>Total Suspended Solids</t>
  </si>
  <si>
    <r>
      <t>(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C)</t>
    </r>
  </si>
  <si>
    <r>
      <t>(mg Cl</t>
    </r>
    <r>
      <rPr>
        <vertAlign val="superscript"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/L)</t>
    </r>
  </si>
  <si>
    <t>NH3</t>
  </si>
  <si>
    <t>NO2/NO3</t>
  </si>
  <si>
    <t>Sampler</t>
  </si>
  <si>
    <t>chloride calculation</t>
  </si>
  <si>
    <t>Fecal</t>
  </si>
  <si>
    <t>Elgin Lab</t>
  </si>
  <si>
    <t>Spring Cove Bridge</t>
  </si>
  <si>
    <t>Sandy Creek</t>
  </si>
  <si>
    <t>Old Randall</t>
  </si>
  <si>
    <t>Timber Trail</t>
  </si>
  <si>
    <t>(mg DO/L)</t>
  </si>
  <si>
    <r>
      <t>(mg Cl</t>
    </r>
    <r>
      <rPr>
        <vertAlign val="superscript"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/L)</t>
    </r>
  </si>
  <si>
    <t>(ppm)</t>
  </si>
  <si>
    <t>(ml)</t>
  </si>
  <si>
    <t>sample amount</t>
  </si>
  <si>
    <t>A=ml of titrant</t>
  </si>
  <si>
    <t>B= ml of titrant for blank</t>
  </si>
  <si>
    <t>N= normality of AgNO3</t>
  </si>
  <si>
    <t>((A-B) * N* 35450)/ ml of sample</t>
  </si>
  <si>
    <t>chloride equation:</t>
  </si>
  <si>
    <t>N=0.0141</t>
  </si>
  <si>
    <t>titrant amount</t>
  </si>
  <si>
    <t>Date</t>
  </si>
  <si>
    <t>Time</t>
  </si>
  <si>
    <t>Do not make any changes to table because data is transferred from column E</t>
  </si>
  <si>
    <t xml:space="preserve"> to "compiled data" spreadsheet.</t>
  </si>
  <si>
    <t>Tyler Creek Watershed Coalition</t>
  </si>
  <si>
    <t>date:</t>
  </si>
  <si>
    <t>(FC/100 ml)</t>
  </si>
  <si>
    <t>G. Swick</t>
  </si>
  <si>
    <t>R. Hirschberg</t>
  </si>
  <si>
    <t>Fill columns C and D with data.  Colum E will calculate the chloride value.</t>
  </si>
  <si>
    <t>N/A</t>
  </si>
  <si>
    <t>Hopson/Schnell</t>
  </si>
  <si>
    <t>Total Phosphorus</t>
  </si>
  <si>
    <t>Fox River Fecal</t>
  </si>
  <si>
    <t>Precipitation, inches (SUM)</t>
  </si>
  <si>
    <t>Tyler Creek flow, ft3/sec (mean)</t>
  </si>
  <si>
    <t>Sample Location</t>
  </si>
  <si>
    <t>&lt;0.02</t>
  </si>
  <si>
    <t>Outside lab</t>
  </si>
  <si>
    <t>Sandy Creek *</t>
  </si>
  <si>
    <t>Spring Cove Bridge *</t>
  </si>
  <si>
    <t>*the DO bottles for each sample were not completely full of water!</t>
  </si>
  <si>
    <t>&lt;84</t>
  </si>
  <si>
    <t>Hopson</t>
  </si>
  <si>
    <t>n/a</t>
  </si>
  <si>
    <t>K. Jacobsen</t>
  </si>
  <si>
    <t>12.2*</t>
  </si>
  <si>
    <t>11.5*</t>
  </si>
  <si>
    <t>*the D.O bottles were not completely full of sample water.</t>
  </si>
  <si>
    <t>unlabeled</t>
  </si>
  <si>
    <t>R. Hopson</t>
  </si>
  <si>
    <t>Twitty</t>
  </si>
  <si>
    <t>--</t>
  </si>
  <si>
    <t>M. Twitty</t>
  </si>
  <si>
    <t>0.26/3.96</t>
  </si>
  <si>
    <t>&lt;0.03/1.00</t>
  </si>
  <si>
    <t>0.44/1.93</t>
  </si>
  <si>
    <t>0.53/1.63</t>
  </si>
  <si>
    <t>&lt;0.03/2.32</t>
  </si>
  <si>
    <t>0.46/2.05</t>
  </si>
  <si>
    <t>&lt;0.03/1.58</t>
  </si>
  <si>
    <t>&lt;0.03/1.67</t>
  </si>
  <si>
    <t>&lt;0.10/1.8</t>
  </si>
  <si>
    <t>&lt;0.10/1.1</t>
  </si>
  <si>
    <t>&lt;0.10/2.2</t>
  </si>
  <si>
    <t>&lt;0.10/2.3</t>
  </si>
  <si>
    <t>&lt;0.10/0.27</t>
  </si>
  <si>
    <t>&lt;0.10/1.00</t>
  </si>
  <si>
    <t>&lt;0.10/1.6</t>
  </si>
  <si>
    <t>R. Poulton</t>
  </si>
  <si>
    <t>Twitty/Hopson</t>
  </si>
  <si>
    <t>Hopson/Twitty</t>
  </si>
  <si>
    <t>Doulton/Milbourn</t>
  </si>
  <si>
    <t>1.91/&lt;0.10</t>
  </si>
  <si>
    <t>0.50/0.46</t>
  </si>
  <si>
    <t>1.87/&lt;0.10</t>
  </si>
  <si>
    <t>&lt;0.10/&lt;0.10</t>
  </si>
  <si>
    <t>0.98/&lt;0.10</t>
  </si>
  <si>
    <t>0.60/&lt;0.10</t>
  </si>
  <si>
    <t>&lt;0.10/0.21</t>
  </si>
  <si>
    <t>Mal &amp; R. Hopson</t>
  </si>
  <si>
    <t>G.  Swick</t>
  </si>
  <si>
    <t>McCornack*</t>
  </si>
  <si>
    <t>Damisch*</t>
  </si>
  <si>
    <t>Highland*</t>
  </si>
  <si>
    <t>&gt;896</t>
  </si>
  <si>
    <t>440*</t>
  </si>
  <si>
    <t>*samples contained leaves, debris, algae, and snails.</t>
  </si>
  <si>
    <t>1.09/&lt;0.10</t>
  </si>
  <si>
    <t>0.44/&lt;0.44</t>
  </si>
  <si>
    <t>0.32/&lt;0.10</t>
  </si>
  <si>
    <t>4.11/&lt;0.10</t>
  </si>
  <si>
    <t>0.14/&lt;0.10</t>
  </si>
  <si>
    <t>0.43/&lt;0.10</t>
  </si>
  <si>
    <t>16.6/2.35</t>
  </si>
  <si>
    <t>0.18/0.74</t>
  </si>
  <si>
    <t>Highland *</t>
  </si>
  <si>
    <t>*D.O. and B.O.D samples had some plant material in them.</t>
  </si>
  <si>
    <t>*Damisch and McCornack:  water flow was too low for sampler to collect DO and BOD samples.  Highland DO and BOD samples had a good amount of oraganic material and dirt in them.</t>
  </si>
  <si>
    <t>2.18/&lt;0.03</t>
  </si>
  <si>
    <t>0.39/&lt;0.10</t>
  </si>
  <si>
    <t>5.97/&lt;0.03</t>
  </si>
  <si>
    <t>21.30/2.02</t>
  </si>
  <si>
    <t>0.37/&lt;0.10</t>
  </si>
  <si>
    <t>1.32/&lt;0.10</t>
  </si>
  <si>
    <r>
      <t>&gt;</t>
    </r>
    <r>
      <rPr>
        <sz val="11"/>
        <color theme="1"/>
        <rFont val="Calibri"/>
        <family val="2"/>
      </rPr>
      <t>700</t>
    </r>
  </si>
  <si>
    <r>
      <rPr>
        <u val="single"/>
        <sz val="11"/>
        <color indexed="8"/>
        <rFont val="Calibri"/>
        <family val="2"/>
      </rPr>
      <t>&gt;</t>
    </r>
    <r>
      <rPr>
        <sz val="11"/>
        <color theme="1"/>
        <rFont val="Calibri"/>
        <family val="2"/>
      </rPr>
      <t>700</t>
    </r>
  </si>
  <si>
    <r>
      <t>&gt;</t>
    </r>
    <r>
      <rPr>
        <sz val="11"/>
        <color theme="1"/>
        <rFont val="Calibri"/>
        <family val="2"/>
      </rPr>
      <t>50</t>
    </r>
  </si>
  <si>
    <t xml:space="preserve">"Highland" location was too frozen over to obtain samples!  </t>
  </si>
  <si>
    <t>*All B.O.D's were run 10 days after sampling, instead of 7 days, due to lab being closed Christmas Eve and Christmas Day.</t>
  </si>
  <si>
    <t>McCornack BOD bottle broke</t>
  </si>
  <si>
    <t>no sample</t>
  </si>
  <si>
    <t>*only one DO bottle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</si>
</sst>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2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2" fillId="0" borderId="12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22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16" borderId="23" xfId="0" applyNumberFormat="1" applyFont="1" applyFill="1" applyBorder="1" applyAlignment="1">
      <alignment horizontal="center"/>
    </xf>
    <xf numFmtId="2" fontId="0" fillId="16" borderId="10" xfId="0" applyNumberFormat="1" applyFont="1" applyFill="1" applyBorder="1" applyAlignment="1">
      <alignment horizontal="center"/>
    </xf>
    <xf numFmtId="2" fontId="0" fillId="16" borderId="24" xfId="0" applyNumberFormat="1" applyFont="1" applyFill="1" applyBorder="1" applyAlignment="1">
      <alignment horizontal="center"/>
    </xf>
    <xf numFmtId="2" fontId="0" fillId="16" borderId="17" xfId="0" applyNumberFormat="1" applyFon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0" xfId="0" applyFill="1" applyAlignment="1">
      <alignment horizontal="center"/>
    </xf>
    <xf numFmtId="0" fontId="2" fillId="17" borderId="12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/>
    </xf>
    <xf numFmtId="165" fontId="0" fillId="17" borderId="23" xfId="0" applyNumberFormat="1" applyFont="1" applyFill="1" applyBorder="1" applyAlignment="1">
      <alignment horizontal="center"/>
    </xf>
    <xf numFmtId="2" fontId="0" fillId="17" borderId="23" xfId="0" applyNumberFormat="1" applyFont="1" applyFill="1" applyBorder="1" applyAlignment="1">
      <alignment horizontal="center"/>
    </xf>
    <xf numFmtId="2" fontId="0" fillId="17" borderId="25" xfId="0" applyNumberFormat="1" applyFont="1" applyFill="1" applyBorder="1" applyAlignment="1">
      <alignment horizontal="center"/>
    </xf>
    <xf numFmtId="165" fontId="0" fillId="17" borderId="10" xfId="0" applyNumberFormat="1" applyFont="1" applyFill="1" applyBorder="1" applyAlignment="1">
      <alignment horizontal="center"/>
    </xf>
    <xf numFmtId="2" fontId="0" fillId="17" borderId="10" xfId="0" applyNumberFormat="1" applyFont="1" applyFill="1" applyBorder="1" applyAlignment="1">
      <alignment horizontal="center"/>
    </xf>
    <xf numFmtId="2" fontId="0" fillId="17" borderId="26" xfId="0" applyNumberFormat="1" applyFont="1" applyFill="1" applyBorder="1" applyAlignment="1">
      <alignment horizontal="center"/>
    </xf>
    <xf numFmtId="2" fontId="0" fillId="17" borderId="10" xfId="0" applyNumberFormat="1" applyFill="1" applyBorder="1" applyAlignment="1">
      <alignment horizontal="center"/>
    </xf>
    <xf numFmtId="165" fontId="0" fillId="17" borderId="24" xfId="0" applyNumberFormat="1" applyFont="1" applyFill="1" applyBorder="1" applyAlignment="1">
      <alignment horizontal="center"/>
    </xf>
    <xf numFmtId="2" fontId="0" fillId="17" borderId="24" xfId="0" applyNumberFormat="1" applyFont="1" applyFill="1" applyBorder="1" applyAlignment="1">
      <alignment horizontal="center"/>
    </xf>
    <xf numFmtId="2" fontId="0" fillId="17" borderId="27" xfId="0" applyNumberFormat="1" applyFont="1" applyFill="1" applyBorder="1" applyAlignment="1">
      <alignment horizontal="center"/>
    </xf>
    <xf numFmtId="0" fontId="0" fillId="17" borderId="28" xfId="0" applyFont="1" applyFill="1" applyBorder="1" applyAlignment="1">
      <alignment/>
    </xf>
    <xf numFmtId="0" fontId="0" fillId="17" borderId="29" xfId="0" applyFont="1" applyFill="1" applyBorder="1" applyAlignment="1">
      <alignment/>
    </xf>
    <xf numFmtId="165" fontId="0" fillId="17" borderId="17" xfId="0" applyNumberFormat="1" applyFont="1" applyFill="1" applyBorder="1" applyAlignment="1">
      <alignment horizontal="center"/>
    </xf>
    <xf numFmtId="2" fontId="0" fillId="17" borderId="17" xfId="0" applyNumberFormat="1" applyFont="1" applyFill="1" applyBorder="1" applyAlignment="1">
      <alignment horizontal="center"/>
    </xf>
    <xf numFmtId="2" fontId="0" fillId="17" borderId="30" xfId="0" applyNumberFormat="1" applyFont="1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7" borderId="0" xfId="0" applyFill="1" applyAlignment="1">
      <alignment horizontal="center"/>
    </xf>
    <xf numFmtId="165" fontId="0" fillId="17" borderId="23" xfId="0" applyNumberFormat="1" applyFill="1" applyBorder="1" applyAlignment="1" quotePrefix="1">
      <alignment horizontal="center"/>
    </xf>
    <xf numFmtId="165" fontId="0" fillId="17" borderId="25" xfId="0" applyNumberFormat="1" applyFill="1" applyBorder="1" applyAlignment="1" quotePrefix="1">
      <alignment horizontal="center"/>
    </xf>
    <xf numFmtId="165" fontId="0" fillId="17" borderId="10" xfId="0" applyNumberFormat="1" applyFill="1" applyBorder="1" applyAlignment="1" quotePrefix="1">
      <alignment horizontal="center"/>
    </xf>
    <xf numFmtId="165" fontId="0" fillId="17" borderId="26" xfId="0" applyNumberFormat="1" applyFill="1" applyBorder="1" applyAlignment="1" quotePrefix="1">
      <alignment horizontal="center"/>
    </xf>
    <xf numFmtId="165" fontId="0" fillId="17" borderId="24" xfId="0" applyNumberFormat="1" applyFill="1" applyBorder="1" applyAlignment="1" quotePrefix="1">
      <alignment horizontal="center"/>
    </xf>
    <xf numFmtId="165" fontId="0" fillId="17" borderId="27" xfId="0" applyNumberFormat="1" applyFill="1" applyBorder="1" applyAlignment="1" quotePrefix="1">
      <alignment horizontal="center"/>
    </xf>
    <xf numFmtId="164" fontId="2" fillId="16" borderId="12" xfId="0" applyNumberFormat="1" applyFont="1" applyFill="1" applyBorder="1" applyAlignment="1">
      <alignment horizontal="center" vertical="center"/>
    </xf>
    <xf numFmtId="2" fontId="2" fillId="16" borderId="12" xfId="0" applyNumberFormat="1" applyFont="1" applyFill="1" applyBorder="1" applyAlignment="1">
      <alignment horizontal="center" vertical="center"/>
    </xf>
    <xf numFmtId="164" fontId="2" fillId="16" borderId="13" xfId="0" applyNumberFormat="1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 wrapText="1"/>
    </xf>
    <xf numFmtId="164" fontId="0" fillId="16" borderId="17" xfId="0" applyNumberFormat="1" applyFont="1" applyFill="1" applyBorder="1" applyAlignment="1">
      <alignment horizontal="center" vertical="center"/>
    </xf>
    <xf numFmtId="2" fontId="0" fillId="16" borderId="17" xfId="0" applyNumberFormat="1" applyFont="1" applyFill="1" applyBorder="1" applyAlignment="1">
      <alignment horizontal="center" vertical="center"/>
    </xf>
    <xf numFmtId="164" fontId="0" fillId="16" borderId="31" xfId="0" applyNumberFormat="1" applyFill="1" applyBorder="1" applyAlignment="1">
      <alignment horizontal="center" vertical="center"/>
    </xf>
    <xf numFmtId="0" fontId="5" fillId="16" borderId="31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/>
    </xf>
    <xf numFmtId="164" fontId="0" fillId="16" borderId="23" xfId="0" applyNumberFormat="1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164" fontId="0" fillId="16" borderId="10" xfId="0" applyNumberFormat="1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164" fontId="0" fillId="16" borderId="24" xfId="0" applyNumberFormat="1" applyFont="1" applyFill="1" applyBorder="1" applyAlignment="1">
      <alignment horizontal="center"/>
    </xf>
    <xf numFmtId="0" fontId="0" fillId="16" borderId="28" xfId="0" applyFont="1" applyFill="1" applyBorder="1" applyAlignment="1">
      <alignment horizontal="center"/>
    </xf>
    <xf numFmtId="164" fontId="0" fillId="16" borderId="28" xfId="0" applyNumberFormat="1" applyFont="1" applyFill="1" applyBorder="1" applyAlignment="1">
      <alignment horizontal="center"/>
    </xf>
    <xf numFmtId="2" fontId="0" fillId="16" borderId="28" xfId="0" applyNumberFormat="1" applyFont="1" applyFill="1" applyBorder="1" applyAlignment="1">
      <alignment horizontal="center"/>
    </xf>
    <xf numFmtId="1" fontId="0" fillId="16" borderId="23" xfId="0" applyNumberFormat="1" applyFont="1" applyFill="1" applyBorder="1" applyAlignment="1">
      <alignment horizontal="center"/>
    </xf>
    <xf numFmtId="1" fontId="0" fillId="16" borderId="10" xfId="0" applyNumberFormat="1" applyFont="1" applyFill="1" applyBorder="1" applyAlignment="1">
      <alignment horizontal="center"/>
    </xf>
    <xf numFmtId="1" fontId="0" fillId="16" borderId="24" xfId="0" applyNumberFormat="1" applyFont="1" applyFill="1" applyBorder="1" applyAlignment="1">
      <alignment horizontal="center"/>
    </xf>
    <xf numFmtId="0" fontId="0" fillId="16" borderId="17" xfId="0" applyFont="1" applyFill="1" applyBorder="1" applyAlignment="1">
      <alignment horizontal="center"/>
    </xf>
    <xf numFmtId="164" fontId="0" fillId="16" borderId="17" xfId="0" applyNumberFormat="1" applyFont="1" applyFill="1" applyBorder="1" applyAlignment="1">
      <alignment horizontal="center"/>
    </xf>
    <xf numFmtId="164" fontId="0" fillId="16" borderId="23" xfId="0" applyNumberFormat="1" applyFill="1" applyBorder="1" applyAlignment="1">
      <alignment horizontal="center"/>
    </xf>
    <xf numFmtId="164" fontId="0" fillId="16" borderId="17" xfId="0" applyNumberFormat="1" applyFill="1" applyBorder="1" applyAlignment="1">
      <alignment horizontal="center"/>
    </xf>
    <xf numFmtId="2" fontId="0" fillId="16" borderId="17" xfId="0" applyNumberFormat="1" applyFill="1" applyBorder="1" applyAlignment="1">
      <alignment horizontal="center"/>
    </xf>
    <xf numFmtId="1" fontId="0" fillId="16" borderId="17" xfId="0" applyNumberFormat="1" applyFill="1" applyBorder="1" applyAlignment="1">
      <alignment horizontal="center"/>
    </xf>
    <xf numFmtId="164" fontId="0" fillId="16" borderId="0" xfId="0" applyNumberFormat="1" applyFill="1" applyAlignment="1">
      <alignment horizontal="center"/>
    </xf>
    <xf numFmtId="2" fontId="0" fillId="16" borderId="0" xfId="0" applyNumberFormat="1" applyFill="1" applyAlignment="1">
      <alignment horizontal="center"/>
    </xf>
    <xf numFmtId="1" fontId="0" fillId="16" borderId="0" xfId="0" applyNumberFormat="1" applyFill="1" applyAlignment="1">
      <alignment horizontal="center"/>
    </xf>
    <xf numFmtId="164" fontId="0" fillId="16" borderId="10" xfId="0" applyNumberFormat="1" applyFill="1" applyBorder="1" applyAlignment="1">
      <alignment horizontal="center"/>
    </xf>
    <xf numFmtId="0" fontId="2" fillId="15" borderId="12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7" xfId="0" applyFont="1" applyFill="1" applyBorder="1" applyAlignment="1">
      <alignment horizontal="center" vertical="center"/>
    </xf>
    <xf numFmtId="14" fontId="0" fillId="15" borderId="23" xfId="0" applyNumberFormat="1" applyFont="1" applyFill="1" applyBorder="1" applyAlignment="1">
      <alignment horizontal="center"/>
    </xf>
    <xf numFmtId="0" fontId="0" fillId="15" borderId="23" xfId="0" applyFont="1" applyFill="1" applyBorder="1" applyAlignment="1">
      <alignment horizontal="center"/>
    </xf>
    <xf numFmtId="0" fontId="0" fillId="15" borderId="23" xfId="0" applyFill="1" applyBorder="1" applyAlignment="1">
      <alignment horizontal="left"/>
    </xf>
    <xf numFmtId="0" fontId="0" fillId="15" borderId="23" xfId="0" applyFill="1" applyBorder="1" applyAlignment="1">
      <alignment horizontal="center"/>
    </xf>
    <xf numFmtId="14" fontId="0" fillId="15" borderId="11" xfId="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 horizontal="left"/>
    </xf>
    <xf numFmtId="0" fontId="0" fillId="15" borderId="11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14" fontId="0" fillId="15" borderId="32" xfId="0" applyNumberFormat="1" applyFont="1" applyFill="1" applyBorder="1" applyAlignment="1">
      <alignment horizontal="center"/>
    </xf>
    <xf numFmtId="0" fontId="0" fillId="15" borderId="24" xfId="0" applyFont="1" applyFill="1" applyBorder="1" applyAlignment="1">
      <alignment horizontal="center"/>
    </xf>
    <xf numFmtId="0" fontId="0" fillId="15" borderId="24" xfId="0" applyFill="1" applyBorder="1" applyAlignment="1">
      <alignment horizontal="left"/>
    </xf>
    <xf numFmtId="0" fontId="0" fillId="15" borderId="24" xfId="0" applyFill="1" applyBorder="1" applyAlignment="1">
      <alignment horizontal="center"/>
    </xf>
    <xf numFmtId="14" fontId="0" fillId="15" borderId="28" xfId="0" applyNumberFormat="1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/>
    </xf>
    <xf numFmtId="0" fontId="0" fillId="15" borderId="28" xfId="0" applyFill="1" applyBorder="1" applyAlignment="1">
      <alignment horizontal="left"/>
    </xf>
    <xf numFmtId="0" fontId="0" fillId="15" borderId="28" xfId="0" applyFill="1" applyBorder="1" applyAlignment="1">
      <alignment horizontal="center"/>
    </xf>
    <xf numFmtId="14" fontId="0" fillId="15" borderId="10" xfId="0" applyNumberFormat="1" applyFont="1" applyFill="1" applyBorder="1" applyAlignment="1">
      <alignment horizontal="center"/>
    </xf>
    <xf numFmtId="14" fontId="0" fillId="15" borderId="24" xfId="0" applyNumberFormat="1" applyFont="1" applyFill="1" applyBorder="1" applyAlignment="1">
      <alignment horizontal="center"/>
    </xf>
    <xf numFmtId="14" fontId="0" fillId="15" borderId="17" xfId="0" applyNumberFormat="1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17" xfId="0" applyFill="1" applyBorder="1" applyAlignment="1">
      <alignment horizontal="left"/>
    </xf>
    <xf numFmtId="0" fontId="0" fillId="15" borderId="24" xfId="0" applyNumberFormat="1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5" borderId="0" xfId="0" applyFill="1" applyAlignment="1">
      <alignment horizontal="left"/>
    </xf>
    <xf numFmtId="0" fontId="0" fillId="15" borderId="23" xfId="0" applyNumberFormat="1" applyFont="1" applyFill="1" applyBorder="1" applyAlignment="1">
      <alignment horizontal="center"/>
    </xf>
    <xf numFmtId="0" fontId="0" fillId="15" borderId="10" xfId="0" applyNumberFormat="1" applyFont="1" applyFill="1" applyBorder="1" applyAlignment="1">
      <alignment horizontal="center"/>
    </xf>
    <xf numFmtId="0" fontId="0" fillId="15" borderId="10" xfId="0" applyNumberFormat="1" applyFill="1" applyBorder="1" applyAlignment="1">
      <alignment horizontal="center"/>
    </xf>
    <xf numFmtId="0" fontId="0" fillId="16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2" fontId="0" fillId="17" borderId="25" xfId="0" applyNumberFormat="1" applyFill="1" applyBorder="1" applyAlignment="1">
      <alignment horizontal="center"/>
    </xf>
    <xf numFmtId="2" fontId="0" fillId="17" borderId="27" xfId="0" applyNumberFormat="1" applyFill="1" applyBorder="1" applyAlignment="1">
      <alignment horizontal="center"/>
    </xf>
    <xf numFmtId="2" fontId="0" fillId="17" borderId="26" xfId="0" applyNumberFormat="1" applyFill="1" applyBorder="1" applyAlignment="1">
      <alignment horizontal="center"/>
    </xf>
    <xf numFmtId="14" fontId="0" fillId="15" borderId="10" xfId="0" applyNumberFormat="1" applyFill="1" applyBorder="1" applyAlignment="1">
      <alignment horizontal="center"/>
    </xf>
    <xf numFmtId="2" fontId="2" fillId="16" borderId="17" xfId="0" applyNumberFormat="1" applyFont="1" applyFill="1" applyBorder="1" applyAlignment="1">
      <alignment horizontal="center" vertical="center"/>
    </xf>
    <xf numFmtId="2" fontId="0" fillId="16" borderId="10" xfId="0" applyNumberFormat="1" applyFill="1" applyBorder="1" applyAlignment="1">
      <alignment horizontal="center"/>
    </xf>
    <xf numFmtId="0" fontId="0" fillId="34" borderId="20" xfId="0" applyFill="1" applyBorder="1" applyAlignment="1">
      <alignment horizontal="left"/>
    </xf>
    <xf numFmtId="1" fontId="0" fillId="16" borderId="10" xfId="0" applyNumberFormat="1" applyFill="1" applyBorder="1" applyAlignment="1">
      <alignment horizontal="center"/>
    </xf>
    <xf numFmtId="1" fontId="0" fillId="16" borderId="24" xfId="0" applyNumberFormat="1" applyFill="1" applyBorder="1" applyAlignment="1">
      <alignment horizontal="center"/>
    </xf>
    <xf numFmtId="164" fontId="0" fillId="15" borderId="23" xfId="0" applyNumberFormat="1" applyFill="1" applyBorder="1" applyAlignment="1">
      <alignment horizontal="center"/>
    </xf>
    <xf numFmtId="164" fontId="0" fillId="15" borderId="11" xfId="0" applyNumberFormat="1" applyFill="1" applyBorder="1" applyAlignment="1">
      <alignment horizontal="center"/>
    </xf>
    <xf numFmtId="164" fontId="0" fillId="15" borderId="10" xfId="0" applyNumberFormat="1" applyFill="1" applyBorder="1" applyAlignment="1">
      <alignment horizontal="center"/>
    </xf>
    <xf numFmtId="164" fontId="0" fillId="15" borderId="24" xfId="0" applyNumberFormat="1" applyFill="1" applyBorder="1" applyAlignment="1">
      <alignment horizontal="center"/>
    </xf>
    <xf numFmtId="164" fontId="0" fillId="15" borderId="28" xfId="0" applyNumberFormat="1" applyFill="1" applyBorder="1" applyAlignment="1">
      <alignment horizontal="center"/>
    </xf>
    <xf numFmtId="164" fontId="0" fillId="15" borderId="17" xfId="0" applyNumberFormat="1" applyFill="1" applyBorder="1" applyAlignment="1">
      <alignment horizontal="center"/>
    </xf>
    <xf numFmtId="164" fontId="0" fillId="15" borderId="23" xfId="0" applyNumberFormat="1" applyFont="1" applyFill="1" applyBorder="1" applyAlignment="1">
      <alignment horizontal="center"/>
    </xf>
    <xf numFmtId="164" fontId="0" fillId="15" borderId="10" xfId="0" applyNumberFormat="1" applyFont="1" applyFill="1" applyBorder="1" applyAlignment="1">
      <alignment horizontal="center"/>
    </xf>
    <xf numFmtId="164" fontId="0" fillId="15" borderId="24" xfId="0" applyNumberFormat="1" applyFill="1" applyBorder="1" applyAlignment="1">
      <alignment horizontal="left"/>
    </xf>
    <xf numFmtId="164" fontId="0" fillId="15" borderId="17" xfId="0" applyNumberFormat="1" applyFill="1" applyBorder="1" applyAlignment="1">
      <alignment horizontal="left"/>
    </xf>
    <xf numFmtId="164" fontId="0" fillId="15" borderId="0" xfId="0" applyNumberFormat="1" applyFill="1" applyAlignment="1">
      <alignment horizontal="left"/>
    </xf>
    <xf numFmtId="165" fontId="0" fillId="17" borderId="10" xfId="0" applyNumberFormat="1" applyFill="1" applyBorder="1" applyAlignment="1">
      <alignment horizontal="center"/>
    </xf>
    <xf numFmtId="0" fontId="0" fillId="15" borderId="17" xfId="0" applyFill="1" applyBorder="1" applyAlignment="1">
      <alignment horizontal="center" vertical="center"/>
    </xf>
    <xf numFmtId="164" fontId="0" fillId="15" borderId="24" xfId="0" applyNumberFormat="1" applyFont="1" applyFill="1" applyBorder="1" applyAlignment="1">
      <alignment horizontal="center"/>
    </xf>
    <xf numFmtId="164" fontId="0" fillId="15" borderId="28" xfId="0" applyNumberFormat="1" applyFont="1" applyFill="1" applyBorder="1" applyAlignment="1">
      <alignment horizontal="center"/>
    </xf>
    <xf numFmtId="164" fontId="0" fillId="15" borderId="0" xfId="0" applyNumberFormat="1" applyFill="1" applyAlignment="1">
      <alignment horizontal="center"/>
    </xf>
    <xf numFmtId="1" fontId="40" fillId="16" borderId="10" xfId="0" applyNumberFormat="1" applyFont="1" applyFill="1" applyBorder="1" applyAlignment="1">
      <alignment horizontal="center"/>
    </xf>
    <xf numFmtId="14" fontId="0" fillId="15" borderId="24" xfId="0" applyNumberFormat="1" applyFill="1" applyBorder="1" applyAlignment="1">
      <alignment horizontal="center"/>
    </xf>
    <xf numFmtId="2" fontId="0" fillId="16" borderId="24" xfId="0" applyNumberFormat="1" applyFill="1" applyBorder="1" applyAlignment="1">
      <alignment horizontal="center"/>
    </xf>
    <xf numFmtId="164" fontId="0" fillId="16" borderId="24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16" borderId="11" xfId="0" applyNumberFormat="1" applyFont="1" applyFill="1" applyBorder="1" applyAlignment="1">
      <alignment horizontal="center"/>
    </xf>
    <xf numFmtId="164" fontId="0" fillId="16" borderId="34" xfId="0" applyNumberFormat="1" applyFill="1" applyBorder="1" applyAlignment="1">
      <alignment horizontal="center"/>
    </xf>
    <xf numFmtId="0" fontId="0" fillId="15" borderId="35" xfId="0" applyFill="1" applyBorder="1" applyAlignment="1">
      <alignment horizontal="left"/>
    </xf>
    <xf numFmtId="0" fontId="0" fillId="15" borderId="36" xfId="0" applyFont="1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164" fontId="0" fillId="15" borderId="11" xfId="0" applyNumberFormat="1" applyFill="1" applyBorder="1" applyAlignment="1">
      <alignment/>
    </xf>
    <xf numFmtId="164" fontId="0" fillId="15" borderId="10" xfId="0" applyNumberFormat="1" applyFill="1" applyBorder="1" applyAlignment="1">
      <alignment/>
    </xf>
    <xf numFmtId="164" fontId="0" fillId="15" borderId="24" xfId="0" applyNumberFormat="1" applyFill="1" applyBorder="1" applyAlignment="1">
      <alignment/>
    </xf>
    <xf numFmtId="0" fontId="4" fillId="35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zoomScalePageLayoutView="0" workbookViewId="0" topLeftCell="A1">
      <pane xSplit="1" ySplit="3" topLeftCell="B16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74" sqref="L174"/>
    </sheetView>
  </sheetViews>
  <sheetFormatPr defaultColWidth="9.140625" defaultRowHeight="15"/>
  <cols>
    <col min="1" max="1" width="21.421875" style="28" customWidth="1"/>
    <col min="2" max="2" width="11.421875" style="128" customWidth="1"/>
    <col min="3" max="3" width="7.421875" style="128" customWidth="1"/>
    <col min="4" max="4" width="17.57421875" style="129" customWidth="1"/>
    <col min="5" max="5" width="6.00390625" style="128" bestFit="1" customWidth="1"/>
    <col min="6" max="7" width="16.57421875" style="129" customWidth="1"/>
    <col min="8" max="8" width="8.421875" style="98" customWidth="1"/>
    <col min="9" max="9" width="11.28125" style="97" customWidth="1"/>
    <col min="10" max="10" width="13.28125" style="97" customWidth="1"/>
    <col min="11" max="11" width="11.140625" style="98" customWidth="1"/>
    <col min="12" max="12" width="22.7109375" style="97" customWidth="1"/>
    <col min="13" max="13" width="11.140625" style="97" bestFit="1" customWidth="1"/>
    <col min="14" max="14" width="13.140625" style="44" customWidth="1"/>
    <col min="15" max="15" width="16.57421875" style="63" customWidth="1"/>
    <col min="16" max="16" width="10.140625" style="63" customWidth="1"/>
    <col min="17" max="17" width="13.00390625" style="63" customWidth="1"/>
    <col min="18" max="18" width="11.140625" style="0" customWidth="1"/>
    <col min="19" max="19" width="12.140625" style="0" customWidth="1"/>
  </cols>
  <sheetData>
    <row r="1" spans="1:19" s="6" customFormat="1" ht="28.5" customHeight="1">
      <c r="A1" s="174" t="s">
        <v>39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S1" s="10"/>
    </row>
    <row r="2" spans="1:19" s="6" customFormat="1" ht="45">
      <c r="A2" s="11" t="s">
        <v>51</v>
      </c>
      <c r="B2" s="101" t="s">
        <v>35</v>
      </c>
      <c r="C2" s="101" t="s">
        <v>36</v>
      </c>
      <c r="D2" s="101" t="s">
        <v>15</v>
      </c>
      <c r="E2" s="101" t="s">
        <v>9</v>
      </c>
      <c r="F2" s="102" t="s">
        <v>49</v>
      </c>
      <c r="G2" s="102" t="s">
        <v>50</v>
      </c>
      <c r="H2" s="71" t="s">
        <v>5</v>
      </c>
      <c r="I2" s="70" t="s">
        <v>6</v>
      </c>
      <c r="J2" s="70" t="s">
        <v>7</v>
      </c>
      <c r="K2" s="71" t="s">
        <v>8</v>
      </c>
      <c r="L2" s="72" t="s">
        <v>10</v>
      </c>
      <c r="M2" s="73" t="s">
        <v>17</v>
      </c>
      <c r="N2" s="74" t="s">
        <v>48</v>
      </c>
      <c r="O2" s="45" t="s">
        <v>47</v>
      </c>
      <c r="P2" s="45" t="s">
        <v>13</v>
      </c>
      <c r="Q2" s="45" t="s">
        <v>14</v>
      </c>
      <c r="S2" s="133" t="s">
        <v>18</v>
      </c>
    </row>
    <row r="3" spans="1:20" s="6" customFormat="1" ht="18" thickBot="1">
      <c r="A3" s="24"/>
      <c r="B3" s="103"/>
      <c r="C3" s="103"/>
      <c r="D3" s="103"/>
      <c r="E3" s="156" t="s">
        <v>11</v>
      </c>
      <c r="F3" s="103"/>
      <c r="G3" s="103"/>
      <c r="H3" s="139"/>
      <c r="I3" s="75" t="s">
        <v>23</v>
      </c>
      <c r="J3" s="75" t="s">
        <v>23</v>
      </c>
      <c r="K3" s="76" t="s">
        <v>24</v>
      </c>
      <c r="L3" s="77" t="s">
        <v>25</v>
      </c>
      <c r="M3" s="78" t="s">
        <v>41</v>
      </c>
      <c r="N3" s="78" t="s">
        <v>41</v>
      </c>
      <c r="O3" s="46"/>
      <c r="P3" s="46"/>
      <c r="Q3" s="46"/>
      <c r="S3" s="134" t="s">
        <v>53</v>
      </c>
      <c r="T3"/>
    </row>
    <row r="4" spans="1:19" s="6" customFormat="1" ht="15">
      <c r="A4" s="25" t="s">
        <v>19</v>
      </c>
      <c r="B4" s="104">
        <v>40784</v>
      </c>
      <c r="C4" s="105">
        <v>1050</v>
      </c>
      <c r="D4" s="106" t="s">
        <v>46</v>
      </c>
      <c r="E4" s="150">
        <v>19</v>
      </c>
      <c r="F4" s="107">
        <v>0</v>
      </c>
      <c r="G4" s="144">
        <v>24</v>
      </c>
      <c r="H4" s="39">
        <v>8.18</v>
      </c>
      <c r="I4" s="80">
        <v>7.7</v>
      </c>
      <c r="J4" s="80">
        <f>I4-6.2</f>
        <v>1.5</v>
      </c>
      <c r="K4" s="39">
        <f>chloride!E5</f>
        <v>155.451795</v>
      </c>
      <c r="L4" s="80">
        <v>5</v>
      </c>
      <c r="M4" s="79">
        <v>390</v>
      </c>
      <c r="N4" s="79"/>
      <c r="O4" s="47">
        <v>0.085</v>
      </c>
      <c r="P4" s="48">
        <v>0.02</v>
      </c>
      <c r="Q4" s="135" t="s">
        <v>77</v>
      </c>
      <c r="S4" s="30"/>
    </row>
    <row r="5" spans="1:17" s="6" customFormat="1" ht="15">
      <c r="A5" s="26" t="s">
        <v>20</v>
      </c>
      <c r="B5" s="108">
        <v>40784</v>
      </c>
      <c r="C5" s="109">
        <v>1120</v>
      </c>
      <c r="D5" s="110" t="s">
        <v>46</v>
      </c>
      <c r="E5" s="151">
        <v>18</v>
      </c>
      <c r="F5" s="111"/>
      <c r="G5" s="145"/>
      <c r="H5" s="40">
        <v>8.04</v>
      </c>
      <c r="I5" s="82">
        <v>7.7</v>
      </c>
      <c r="J5" s="82">
        <f>I5-4.9</f>
        <v>2.8</v>
      </c>
      <c r="K5" s="40">
        <f>chloride!E6</f>
        <v>152.95257</v>
      </c>
      <c r="L5" s="82">
        <v>7.5</v>
      </c>
      <c r="M5" s="81">
        <v>760</v>
      </c>
      <c r="N5" s="81"/>
      <c r="O5" s="50">
        <v>0.085</v>
      </c>
      <c r="P5" s="51">
        <v>0.04</v>
      </c>
      <c r="Q5" s="137" t="s">
        <v>78</v>
      </c>
    </row>
    <row r="6" spans="1:17" s="6" customFormat="1" ht="15">
      <c r="A6" s="26" t="s">
        <v>21</v>
      </c>
      <c r="B6" s="108">
        <v>40784</v>
      </c>
      <c r="C6" s="109">
        <v>1230</v>
      </c>
      <c r="D6" s="110" t="s">
        <v>42</v>
      </c>
      <c r="E6" s="151">
        <v>16</v>
      </c>
      <c r="F6" s="112"/>
      <c r="G6" s="146"/>
      <c r="H6" s="40">
        <v>8.34</v>
      </c>
      <c r="I6" s="82">
        <v>8.4</v>
      </c>
      <c r="J6" s="82">
        <f>I6-6.1</f>
        <v>2.3000000000000007</v>
      </c>
      <c r="K6" s="40">
        <f>chloride!E7</f>
        <v>160.95009000000002</v>
      </c>
      <c r="L6" s="82">
        <v>7</v>
      </c>
      <c r="M6" s="81">
        <v>700</v>
      </c>
      <c r="N6" s="81"/>
      <c r="O6" s="50">
        <v>0.097</v>
      </c>
      <c r="P6" s="53" t="s">
        <v>52</v>
      </c>
      <c r="Q6" s="137" t="s">
        <v>79</v>
      </c>
    </row>
    <row r="7" spans="1:17" s="6" customFormat="1" ht="15">
      <c r="A7" s="26" t="s">
        <v>22</v>
      </c>
      <c r="B7" s="108">
        <v>40784</v>
      </c>
      <c r="C7" s="109">
        <v>1215</v>
      </c>
      <c r="D7" s="110" t="s">
        <v>42</v>
      </c>
      <c r="E7" s="151">
        <v>15</v>
      </c>
      <c r="F7" s="112"/>
      <c r="G7" s="146"/>
      <c r="H7" s="40">
        <v>7.97</v>
      </c>
      <c r="I7" s="82">
        <v>6.3</v>
      </c>
      <c r="J7" s="82">
        <f>I7-5.5</f>
        <v>0.7999999999999998</v>
      </c>
      <c r="K7" s="40">
        <f>chloride!E8</f>
        <v>148.95381</v>
      </c>
      <c r="L7" s="82">
        <v>24.5</v>
      </c>
      <c r="M7" s="81">
        <v>390</v>
      </c>
      <c r="N7" s="81"/>
      <c r="O7" s="50">
        <v>0.135</v>
      </c>
      <c r="P7" s="51">
        <v>0.04</v>
      </c>
      <c r="Q7" s="137" t="s">
        <v>80</v>
      </c>
    </row>
    <row r="8" spans="1:17" s="6" customFormat="1" ht="15">
      <c r="A8" s="26" t="s">
        <v>1</v>
      </c>
      <c r="B8" s="108">
        <v>40784</v>
      </c>
      <c r="C8" s="109">
        <v>1130</v>
      </c>
      <c r="D8" s="110" t="s">
        <v>42</v>
      </c>
      <c r="E8" s="151">
        <v>14</v>
      </c>
      <c r="F8" s="112"/>
      <c r="G8" s="146"/>
      <c r="H8" s="40">
        <v>7.71</v>
      </c>
      <c r="I8" s="82">
        <v>6.1</v>
      </c>
      <c r="J8" s="82">
        <v>3.4</v>
      </c>
      <c r="K8" s="40">
        <f>chloride!E9</f>
        <v>125.461095</v>
      </c>
      <c r="L8" s="82">
        <v>10</v>
      </c>
      <c r="M8" s="81">
        <v>390</v>
      </c>
      <c r="N8" s="81"/>
      <c r="O8" s="50">
        <v>0.123</v>
      </c>
      <c r="P8" s="51">
        <v>0.1</v>
      </c>
      <c r="Q8" s="137" t="s">
        <v>81</v>
      </c>
    </row>
    <row r="9" spans="1:17" s="6" customFormat="1" ht="15">
      <c r="A9" s="26" t="s">
        <v>2</v>
      </c>
      <c r="B9" s="108">
        <v>40784</v>
      </c>
      <c r="C9" s="109">
        <v>1403</v>
      </c>
      <c r="D9" s="110" t="s">
        <v>43</v>
      </c>
      <c r="E9" s="146" t="s">
        <v>59</v>
      </c>
      <c r="F9" s="112"/>
      <c r="G9" s="146"/>
      <c r="H9" s="40">
        <v>8.45</v>
      </c>
      <c r="I9" s="82">
        <v>9.2</v>
      </c>
      <c r="J9" s="82">
        <f>I9-7.9</f>
        <v>1.299999999999999</v>
      </c>
      <c r="K9" s="40">
        <f>chloride!E10</f>
        <v>164.94885</v>
      </c>
      <c r="L9" s="82">
        <v>3.5</v>
      </c>
      <c r="M9" s="81">
        <v>300</v>
      </c>
      <c r="N9" s="81">
        <v>520</v>
      </c>
      <c r="O9" s="50">
        <v>0.064</v>
      </c>
      <c r="P9" s="51">
        <v>0.02</v>
      </c>
      <c r="Q9" s="137" t="s">
        <v>78</v>
      </c>
    </row>
    <row r="10" spans="1:17" s="6" customFormat="1" ht="15">
      <c r="A10" s="26" t="s">
        <v>3</v>
      </c>
      <c r="B10" s="108">
        <v>40784</v>
      </c>
      <c r="C10" s="109">
        <v>1200</v>
      </c>
      <c r="D10" s="110" t="s">
        <v>42</v>
      </c>
      <c r="E10" s="151">
        <v>14</v>
      </c>
      <c r="F10" s="112"/>
      <c r="G10" s="146"/>
      <c r="H10" s="40">
        <v>7.95</v>
      </c>
      <c r="I10" s="82">
        <v>7.4</v>
      </c>
      <c r="J10" s="82">
        <f>I10-5.3</f>
        <v>2.1000000000000005</v>
      </c>
      <c r="K10" s="40">
        <f>chloride!E11</f>
        <v>106.96682999999999</v>
      </c>
      <c r="L10" s="82">
        <v>9</v>
      </c>
      <c r="M10" s="81">
        <v>300</v>
      </c>
      <c r="N10" s="81"/>
      <c r="O10" s="50">
        <v>0.092</v>
      </c>
      <c r="P10" s="51">
        <v>0.08</v>
      </c>
      <c r="Q10" s="137" t="s">
        <v>82</v>
      </c>
    </row>
    <row r="11" spans="1:17" s="6" customFormat="1" ht="15.75" thickBot="1">
      <c r="A11" s="27" t="s">
        <v>4</v>
      </c>
      <c r="B11" s="113">
        <v>40784</v>
      </c>
      <c r="C11" s="114">
        <v>1100</v>
      </c>
      <c r="D11" s="115" t="s">
        <v>42</v>
      </c>
      <c r="E11" s="157">
        <v>14</v>
      </c>
      <c r="F11" s="116"/>
      <c r="G11" s="147"/>
      <c r="H11" s="41">
        <v>7.66</v>
      </c>
      <c r="I11" s="84">
        <v>3.5</v>
      </c>
      <c r="J11" s="84">
        <f>I11-2.3</f>
        <v>1.2000000000000002</v>
      </c>
      <c r="K11" s="41">
        <f>chloride!E12</f>
        <v>101.96837999999998</v>
      </c>
      <c r="L11" s="84">
        <v>4</v>
      </c>
      <c r="M11" s="83">
        <v>160</v>
      </c>
      <c r="N11" s="83"/>
      <c r="O11" s="54">
        <v>0.081</v>
      </c>
      <c r="P11" s="55">
        <v>0.06</v>
      </c>
      <c r="Q11" s="136" t="s">
        <v>83</v>
      </c>
    </row>
    <row r="12" spans="1:17" s="6" customFormat="1" ht="15.75" thickBot="1">
      <c r="A12" s="31"/>
      <c r="B12" s="117"/>
      <c r="C12" s="118"/>
      <c r="D12" s="119"/>
      <c r="E12" s="158"/>
      <c r="F12" s="120"/>
      <c r="G12" s="148"/>
      <c r="H12" s="87"/>
      <c r="I12" s="86"/>
      <c r="J12" s="86"/>
      <c r="K12" s="87"/>
      <c r="L12" s="86"/>
      <c r="M12" s="85"/>
      <c r="N12" s="85"/>
      <c r="O12" s="57"/>
      <c r="P12" s="57"/>
      <c r="Q12" s="58"/>
    </row>
    <row r="13" spans="1:17" s="6" customFormat="1" ht="15">
      <c r="A13" s="25" t="s">
        <v>19</v>
      </c>
      <c r="B13" s="104">
        <v>40805</v>
      </c>
      <c r="C13" s="105">
        <v>1030</v>
      </c>
      <c r="D13" s="106" t="s">
        <v>46</v>
      </c>
      <c r="E13" s="150">
        <v>16</v>
      </c>
      <c r="F13" s="107">
        <v>0.01</v>
      </c>
      <c r="G13" s="144">
        <v>12</v>
      </c>
      <c r="H13" s="39">
        <v>8.03</v>
      </c>
      <c r="I13" s="80">
        <v>7.6</v>
      </c>
      <c r="J13" s="80">
        <f>I13-7.1</f>
        <v>0.5</v>
      </c>
      <c r="K13" s="39">
        <f>chloride!E18</f>
        <v>175.94544000000002</v>
      </c>
      <c r="L13" s="80">
        <v>6</v>
      </c>
      <c r="M13" s="88">
        <v>3900</v>
      </c>
      <c r="N13" s="79"/>
      <c r="O13" s="47">
        <v>0.068</v>
      </c>
      <c r="P13" s="48">
        <v>0.04</v>
      </c>
      <c r="Q13" s="49">
        <v>1.9</v>
      </c>
    </row>
    <row r="14" spans="1:17" s="6" customFormat="1" ht="15">
      <c r="A14" s="26" t="s">
        <v>20</v>
      </c>
      <c r="B14" s="121">
        <v>40805</v>
      </c>
      <c r="C14" s="109">
        <v>1140</v>
      </c>
      <c r="D14" s="110" t="s">
        <v>46</v>
      </c>
      <c r="E14" s="151">
        <v>16</v>
      </c>
      <c r="F14" s="111"/>
      <c r="G14" s="145"/>
      <c r="H14" s="40">
        <v>7.87</v>
      </c>
      <c r="I14" s="82">
        <v>6</v>
      </c>
      <c r="J14" s="82">
        <f>I14-3.7</f>
        <v>2.3</v>
      </c>
      <c r="K14" s="40">
        <f>chloride!E19</f>
        <v>143.95536</v>
      </c>
      <c r="L14" s="82">
        <v>13.5</v>
      </c>
      <c r="M14" s="89">
        <v>4600</v>
      </c>
      <c r="N14" s="81"/>
      <c r="O14" s="50">
        <v>0.111</v>
      </c>
      <c r="P14" s="51">
        <v>0.06</v>
      </c>
      <c r="Q14" s="52">
        <v>0.98</v>
      </c>
    </row>
    <row r="15" spans="1:19" s="6" customFormat="1" ht="15">
      <c r="A15" s="26" t="s">
        <v>21</v>
      </c>
      <c r="B15" s="121">
        <v>40805</v>
      </c>
      <c r="C15" s="109">
        <v>1110</v>
      </c>
      <c r="D15" s="110" t="s">
        <v>42</v>
      </c>
      <c r="E15" s="151">
        <v>11</v>
      </c>
      <c r="F15" s="112"/>
      <c r="G15" s="146"/>
      <c r="H15" s="40">
        <v>8.3</v>
      </c>
      <c r="I15" s="82">
        <v>8.8</v>
      </c>
      <c r="J15" s="82">
        <f>I15-5.8</f>
        <v>3.000000000000001</v>
      </c>
      <c r="K15" s="40">
        <f>chloride!E20</f>
        <v>251.92188</v>
      </c>
      <c r="L15" s="82">
        <v>3.5</v>
      </c>
      <c r="M15" s="89">
        <v>1300</v>
      </c>
      <c r="N15" s="81"/>
      <c r="O15" s="50">
        <v>0.082</v>
      </c>
      <c r="P15" s="53" t="s">
        <v>52</v>
      </c>
      <c r="Q15" s="52">
        <v>3.8</v>
      </c>
      <c r="S15"/>
    </row>
    <row r="16" spans="1:17" s="6" customFormat="1" ht="15">
      <c r="A16" s="26" t="s">
        <v>22</v>
      </c>
      <c r="B16" s="121">
        <v>40805</v>
      </c>
      <c r="C16" s="109">
        <v>1055</v>
      </c>
      <c r="D16" s="110" t="s">
        <v>42</v>
      </c>
      <c r="E16" s="151">
        <v>11</v>
      </c>
      <c r="F16" s="112"/>
      <c r="G16" s="146"/>
      <c r="H16" s="40">
        <v>7.86</v>
      </c>
      <c r="I16" s="82">
        <v>5.6</v>
      </c>
      <c r="J16" s="82">
        <f>I16-3.8</f>
        <v>1.7999999999999998</v>
      </c>
      <c r="K16" s="40">
        <f>chloride!E21</f>
        <v>207.93552</v>
      </c>
      <c r="L16" s="82">
        <v>17.5</v>
      </c>
      <c r="M16" s="89">
        <v>610</v>
      </c>
      <c r="N16" s="81"/>
      <c r="O16" s="50">
        <v>0.146</v>
      </c>
      <c r="P16" s="51">
        <v>0.05</v>
      </c>
      <c r="Q16" s="52">
        <v>4.2</v>
      </c>
    </row>
    <row r="17" spans="1:17" s="6" customFormat="1" ht="15">
      <c r="A17" s="26" t="s">
        <v>1</v>
      </c>
      <c r="B17" s="121">
        <v>40805</v>
      </c>
      <c r="C17" s="109">
        <v>1032</v>
      </c>
      <c r="D17" s="110" t="s">
        <v>42</v>
      </c>
      <c r="E17" s="151">
        <v>11</v>
      </c>
      <c r="F17" s="112"/>
      <c r="G17" s="146"/>
      <c r="H17" s="40">
        <v>7.81</v>
      </c>
      <c r="I17" s="82">
        <v>4</v>
      </c>
      <c r="J17" s="82">
        <f>I17-1.4</f>
        <v>2.6</v>
      </c>
      <c r="K17" s="40">
        <f>chloride!E22</f>
        <v>146.95443</v>
      </c>
      <c r="L17" s="82">
        <v>6.5</v>
      </c>
      <c r="M17" s="89">
        <v>400</v>
      </c>
      <c r="N17" s="81"/>
      <c r="O17" s="50">
        <v>0.098</v>
      </c>
      <c r="P17" s="51">
        <v>0.16</v>
      </c>
      <c r="Q17" s="52">
        <v>0.28</v>
      </c>
    </row>
    <row r="18" spans="1:17" s="6" customFormat="1" ht="15">
      <c r="A18" s="26" t="s">
        <v>2</v>
      </c>
      <c r="B18" s="121">
        <v>40805</v>
      </c>
      <c r="C18" s="109">
        <v>1440</v>
      </c>
      <c r="D18" s="110" t="s">
        <v>43</v>
      </c>
      <c r="E18" s="146" t="s">
        <v>59</v>
      </c>
      <c r="F18" s="112"/>
      <c r="G18" s="146"/>
      <c r="H18" s="40">
        <v>8.29</v>
      </c>
      <c r="I18" s="82">
        <v>9.3</v>
      </c>
      <c r="J18" s="82">
        <f>I18-7.1</f>
        <v>2.200000000000001</v>
      </c>
      <c r="K18" s="40">
        <f>chloride!E23</f>
        <v>173.94606</v>
      </c>
      <c r="L18" s="82">
        <v>5</v>
      </c>
      <c r="M18" s="89">
        <v>4800</v>
      </c>
      <c r="N18" s="81">
        <v>1700</v>
      </c>
      <c r="O18" s="50">
        <v>0.052</v>
      </c>
      <c r="P18" s="53" t="s">
        <v>52</v>
      </c>
      <c r="Q18" s="52">
        <v>1.8</v>
      </c>
    </row>
    <row r="19" spans="1:17" ht="15">
      <c r="A19" s="26" t="s">
        <v>3</v>
      </c>
      <c r="B19" s="121">
        <v>40805</v>
      </c>
      <c r="C19" s="112">
        <v>1040</v>
      </c>
      <c r="D19" s="110" t="s">
        <v>42</v>
      </c>
      <c r="E19" s="146">
        <v>10</v>
      </c>
      <c r="F19" s="112"/>
      <c r="G19" s="146"/>
      <c r="H19" s="40">
        <v>8.02</v>
      </c>
      <c r="I19" s="82">
        <v>5.5</v>
      </c>
      <c r="J19" s="82">
        <f>I19-3</f>
        <v>2.5</v>
      </c>
      <c r="K19" s="40">
        <f>chloride!E24</f>
        <v>125.96094</v>
      </c>
      <c r="L19" s="82">
        <v>4</v>
      </c>
      <c r="M19" s="89">
        <v>260</v>
      </c>
      <c r="N19" s="81"/>
      <c r="O19" s="50">
        <v>0.1</v>
      </c>
      <c r="P19" s="51">
        <v>0.04</v>
      </c>
      <c r="Q19" s="52">
        <v>0.32</v>
      </c>
    </row>
    <row r="20" spans="1:17" ht="15.75" thickBot="1">
      <c r="A20" s="27" t="s">
        <v>4</v>
      </c>
      <c r="B20" s="122">
        <v>40805</v>
      </c>
      <c r="C20" s="116">
        <v>1020</v>
      </c>
      <c r="D20" s="115" t="s">
        <v>42</v>
      </c>
      <c r="E20" s="147">
        <v>10</v>
      </c>
      <c r="F20" s="116"/>
      <c r="G20" s="147"/>
      <c r="H20" s="41">
        <v>7.73</v>
      </c>
      <c r="I20" s="84">
        <v>2.3</v>
      </c>
      <c r="J20" s="84">
        <f>I20-1.1</f>
        <v>1.1999999999999997</v>
      </c>
      <c r="K20" s="41">
        <f>chloride!E25</f>
        <v>106.96682999999999</v>
      </c>
      <c r="L20" s="84">
        <v>3.5</v>
      </c>
      <c r="M20" s="90">
        <v>200</v>
      </c>
      <c r="N20" s="83"/>
      <c r="O20" s="54">
        <v>0.125</v>
      </c>
      <c r="P20" s="55">
        <v>0.09</v>
      </c>
      <c r="Q20" s="56">
        <v>0.18</v>
      </c>
    </row>
    <row r="21" spans="1:17" ht="15.75" thickBot="1">
      <c r="A21" s="29"/>
      <c r="B21" s="123"/>
      <c r="C21" s="124"/>
      <c r="D21" s="125"/>
      <c r="E21" s="149"/>
      <c r="F21" s="124"/>
      <c r="G21" s="149"/>
      <c r="H21" s="42"/>
      <c r="I21" s="92"/>
      <c r="J21" s="92"/>
      <c r="K21" s="42"/>
      <c r="L21" s="92"/>
      <c r="M21" s="92"/>
      <c r="N21" s="91"/>
      <c r="O21" s="59"/>
      <c r="P21" s="60"/>
      <c r="Q21" s="61"/>
    </row>
    <row r="22" spans="1:18" s="6" customFormat="1" ht="15">
      <c r="A22" s="33" t="s">
        <v>55</v>
      </c>
      <c r="B22" s="104">
        <v>40833</v>
      </c>
      <c r="C22" s="105">
        <v>1045</v>
      </c>
      <c r="D22" s="106" t="s">
        <v>46</v>
      </c>
      <c r="E22" s="150">
        <v>10</v>
      </c>
      <c r="F22" s="107">
        <v>0</v>
      </c>
      <c r="G22" s="150">
        <v>13</v>
      </c>
      <c r="H22" s="39">
        <v>8.14</v>
      </c>
      <c r="I22" s="80">
        <v>9.9</v>
      </c>
      <c r="J22" s="80">
        <f>I22-7.7</f>
        <v>2.2</v>
      </c>
      <c r="K22" s="39">
        <f>chloride!E31</f>
        <v>148.95381</v>
      </c>
      <c r="L22" s="80">
        <v>1</v>
      </c>
      <c r="M22" s="93" t="s">
        <v>57</v>
      </c>
      <c r="N22" s="79"/>
      <c r="O22" s="47">
        <v>0.09</v>
      </c>
      <c r="P22" s="48">
        <v>0.04</v>
      </c>
      <c r="Q22" s="49">
        <v>1.62</v>
      </c>
      <c r="R22" t="s">
        <v>56</v>
      </c>
    </row>
    <row r="23" spans="1:17" s="6" customFormat="1" ht="15">
      <c r="A23" s="32" t="s">
        <v>54</v>
      </c>
      <c r="B23" s="121">
        <v>40833</v>
      </c>
      <c r="C23" s="109">
        <v>1100</v>
      </c>
      <c r="D23" s="110" t="s">
        <v>46</v>
      </c>
      <c r="E23" s="151">
        <v>10</v>
      </c>
      <c r="F23" s="109"/>
      <c r="G23" s="151"/>
      <c r="H23" s="40">
        <v>7.92</v>
      </c>
      <c r="I23" s="82">
        <v>8.4</v>
      </c>
      <c r="J23" s="82">
        <f>I23-9.3</f>
        <v>-0.9000000000000004</v>
      </c>
      <c r="K23" s="40">
        <f>chloride!E32</f>
        <v>151.95288</v>
      </c>
      <c r="L23" s="82">
        <v>2</v>
      </c>
      <c r="M23" s="89">
        <v>584</v>
      </c>
      <c r="N23" s="81"/>
      <c r="O23" s="50">
        <v>0.11</v>
      </c>
      <c r="P23" s="51">
        <v>0.08</v>
      </c>
      <c r="Q23" s="52">
        <v>0.79</v>
      </c>
    </row>
    <row r="24" spans="1:17" s="6" customFormat="1" ht="15">
      <c r="A24" s="26" t="s">
        <v>21</v>
      </c>
      <c r="B24" s="121">
        <v>40833</v>
      </c>
      <c r="C24" s="109">
        <v>1024</v>
      </c>
      <c r="D24" s="110" t="s">
        <v>42</v>
      </c>
      <c r="E24" s="151">
        <v>3</v>
      </c>
      <c r="F24" s="109"/>
      <c r="G24" s="151"/>
      <c r="H24" s="40">
        <v>8.23</v>
      </c>
      <c r="I24" s="82">
        <v>9.5</v>
      </c>
      <c r="J24" s="82">
        <f>I24-8.8</f>
        <v>0.6999999999999993</v>
      </c>
      <c r="K24" s="40">
        <f>chloride!E33</f>
        <v>135.95784</v>
      </c>
      <c r="L24" s="82">
        <v>1</v>
      </c>
      <c r="M24" s="89">
        <v>100</v>
      </c>
      <c r="N24" s="81"/>
      <c r="O24" s="50">
        <v>0.09</v>
      </c>
      <c r="P24" s="51">
        <v>0.02</v>
      </c>
      <c r="Q24" s="52">
        <v>1.77</v>
      </c>
    </row>
    <row r="25" spans="1:17" s="6" customFormat="1" ht="15">
      <c r="A25" s="26" t="s">
        <v>22</v>
      </c>
      <c r="B25" s="121">
        <v>40833</v>
      </c>
      <c r="C25" s="109">
        <v>1010</v>
      </c>
      <c r="D25" s="110" t="s">
        <v>42</v>
      </c>
      <c r="E25" s="151">
        <v>4</v>
      </c>
      <c r="F25" s="109"/>
      <c r="G25" s="151"/>
      <c r="H25" s="40">
        <v>7.84</v>
      </c>
      <c r="I25" s="82">
        <v>7.8</v>
      </c>
      <c r="J25" s="82">
        <f>I25-6</f>
        <v>1.7999999999999998</v>
      </c>
      <c r="K25" s="40">
        <f>chloride!E34</f>
        <v>138.95691</v>
      </c>
      <c r="L25" s="82">
        <v>6.5</v>
      </c>
      <c r="M25" s="89">
        <v>185</v>
      </c>
      <c r="N25" s="81"/>
      <c r="O25" s="50">
        <v>0.13</v>
      </c>
      <c r="P25" s="51">
        <v>0.05</v>
      </c>
      <c r="Q25" s="52">
        <v>2.29</v>
      </c>
    </row>
    <row r="26" spans="1:17" s="6" customFormat="1" ht="15">
      <c r="A26" s="26" t="s">
        <v>1</v>
      </c>
      <c r="B26" s="121">
        <v>40833</v>
      </c>
      <c r="C26" s="109">
        <v>950</v>
      </c>
      <c r="D26" s="110" t="s">
        <v>42</v>
      </c>
      <c r="E26" s="151">
        <v>4</v>
      </c>
      <c r="F26" s="109"/>
      <c r="G26" s="151"/>
      <c r="H26" s="40">
        <v>7.53</v>
      </c>
      <c r="I26" s="82">
        <v>6.1</v>
      </c>
      <c r="J26" s="82">
        <f>I26-4.9</f>
        <v>1.1999999999999993</v>
      </c>
      <c r="K26" s="40">
        <f>chloride!E35</f>
        <v>130.95939</v>
      </c>
      <c r="L26" s="82">
        <v>5.5</v>
      </c>
      <c r="M26" s="89">
        <v>115</v>
      </c>
      <c r="N26" s="81"/>
      <c r="O26" s="50">
        <v>0.1</v>
      </c>
      <c r="P26" s="51">
        <v>0.08</v>
      </c>
      <c r="Q26" s="52">
        <v>0.34</v>
      </c>
    </row>
    <row r="27" spans="1:17" s="6" customFormat="1" ht="15">
      <c r="A27" s="26" t="s">
        <v>2</v>
      </c>
      <c r="B27" s="121">
        <v>40833</v>
      </c>
      <c r="C27" s="112" t="s">
        <v>45</v>
      </c>
      <c r="D27" s="110" t="s">
        <v>43</v>
      </c>
      <c r="E27" s="146" t="s">
        <v>59</v>
      </c>
      <c r="F27" s="109"/>
      <c r="G27" s="151"/>
      <c r="H27" s="40">
        <v>8.43</v>
      </c>
      <c r="I27" s="82">
        <v>10.6</v>
      </c>
      <c r="J27" s="82">
        <f>I27-9.8</f>
        <v>0.7999999999999989</v>
      </c>
      <c r="K27" s="40">
        <f>chloride!E36</f>
        <v>156.95133</v>
      </c>
      <c r="L27" s="82">
        <v>0.5</v>
      </c>
      <c r="M27" s="89">
        <v>667</v>
      </c>
      <c r="N27" s="81">
        <v>184</v>
      </c>
      <c r="O27" s="50">
        <v>0.08</v>
      </c>
      <c r="P27" s="51">
        <v>0.03</v>
      </c>
      <c r="Q27" s="52">
        <v>1.25</v>
      </c>
    </row>
    <row r="28" spans="1:17" ht="15">
      <c r="A28" s="26" t="s">
        <v>3</v>
      </c>
      <c r="B28" s="121">
        <v>40833</v>
      </c>
      <c r="C28" s="112">
        <v>1056</v>
      </c>
      <c r="D28" s="110" t="s">
        <v>42</v>
      </c>
      <c r="E28" s="146">
        <v>3</v>
      </c>
      <c r="F28" s="112"/>
      <c r="G28" s="146"/>
      <c r="H28" s="40">
        <v>7.81</v>
      </c>
      <c r="I28" s="82">
        <v>7.9</v>
      </c>
      <c r="J28" s="82">
        <f>I28-6.5</f>
        <v>1.4000000000000004</v>
      </c>
      <c r="K28" s="40">
        <f>chloride!E37</f>
        <v>115.96403999999998</v>
      </c>
      <c r="L28" s="82">
        <v>3.5</v>
      </c>
      <c r="M28" s="89">
        <v>26</v>
      </c>
      <c r="N28" s="81"/>
      <c r="O28" s="50">
        <v>0.11</v>
      </c>
      <c r="P28" s="51">
        <v>0.06</v>
      </c>
      <c r="Q28" s="52">
        <v>0.77</v>
      </c>
    </row>
    <row r="29" spans="1:17" ht="15.75" thickBot="1">
      <c r="A29" s="27" t="s">
        <v>4</v>
      </c>
      <c r="B29" s="122">
        <v>40833</v>
      </c>
      <c r="C29" s="126">
        <v>940</v>
      </c>
      <c r="D29" s="115" t="s">
        <v>42</v>
      </c>
      <c r="E29" s="147">
        <v>4</v>
      </c>
      <c r="F29" s="115"/>
      <c r="G29" s="152"/>
      <c r="H29" s="41">
        <v>7.62</v>
      </c>
      <c r="I29" s="84">
        <v>5.4</v>
      </c>
      <c r="J29" s="84">
        <f>I29-4.9</f>
        <v>0.5</v>
      </c>
      <c r="K29" s="41">
        <f>chloride!E38</f>
        <v>102.96806999999997</v>
      </c>
      <c r="L29" s="84">
        <v>0.5</v>
      </c>
      <c r="M29" s="90">
        <v>58</v>
      </c>
      <c r="N29" s="83"/>
      <c r="O29" s="54">
        <v>0.11</v>
      </c>
      <c r="P29" s="55">
        <v>0.05</v>
      </c>
      <c r="Q29" s="56">
        <v>1.55</v>
      </c>
    </row>
    <row r="30" spans="1:17" ht="15.75" thickBot="1">
      <c r="A30" s="34"/>
      <c r="B30" s="124"/>
      <c r="C30" s="124"/>
      <c r="D30" s="125"/>
      <c r="E30" s="149"/>
      <c r="F30" s="125"/>
      <c r="G30" s="153"/>
      <c r="H30" s="95"/>
      <c r="I30" s="94"/>
      <c r="J30" s="94"/>
      <c r="K30" s="95"/>
      <c r="L30" s="94"/>
      <c r="M30" s="96"/>
      <c r="N30" s="43"/>
      <c r="O30" s="62"/>
      <c r="P30" s="62"/>
      <c r="Q30" s="62"/>
    </row>
    <row r="31" spans="1:17" ht="15">
      <c r="A31" s="25" t="s">
        <v>19</v>
      </c>
      <c r="B31" s="104">
        <v>40861</v>
      </c>
      <c r="C31" s="105">
        <v>1115</v>
      </c>
      <c r="D31" s="106" t="s">
        <v>58</v>
      </c>
      <c r="E31" s="150">
        <v>7.9</v>
      </c>
      <c r="F31" s="105">
        <v>0</v>
      </c>
      <c r="G31" s="150">
        <v>63</v>
      </c>
      <c r="H31" s="39">
        <v>8.12</v>
      </c>
      <c r="I31" s="80">
        <v>10.3</v>
      </c>
      <c r="J31" s="80">
        <f>I31-8.9</f>
        <v>1.4000000000000004</v>
      </c>
      <c r="K31" s="39">
        <f>chloride!E44</f>
        <v>107.96652</v>
      </c>
      <c r="L31" s="80">
        <v>10.5</v>
      </c>
      <c r="M31" s="88">
        <v>112</v>
      </c>
      <c r="N31" s="79"/>
      <c r="O31" s="47">
        <v>0.11</v>
      </c>
      <c r="P31" s="48">
        <v>0.09</v>
      </c>
      <c r="Q31" s="49">
        <v>2.41</v>
      </c>
    </row>
    <row r="32" spans="1:17" ht="15">
      <c r="A32" s="26" t="s">
        <v>20</v>
      </c>
      <c r="B32" s="121">
        <v>40861</v>
      </c>
      <c r="C32" s="109">
        <v>1300</v>
      </c>
      <c r="D32" s="110" t="s">
        <v>58</v>
      </c>
      <c r="E32" s="151">
        <v>8.3</v>
      </c>
      <c r="F32" s="109"/>
      <c r="G32" s="151"/>
      <c r="H32" s="40">
        <v>7.89</v>
      </c>
      <c r="I32" s="82">
        <v>10.3</v>
      </c>
      <c r="J32" s="82">
        <f>I32-8.1</f>
        <v>2.200000000000001</v>
      </c>
      <c r="K32" s="40">
        <f>chloride!E45</f>
        <v>145.95474</v>
      </c>
      <c r="L32" s="82">
        <v>2</v>
      </c>
      <c r="M32" s="89">
        <v>194</v>
      </c>
      <c r="N32" s="81"/>
      <c r="O32" s="50">
        <v>0.05</v>
      </c>
      <c r="P32" s="51">
        <v>0.12</v>
      </c>
      <c r="Q32" s="52">
        <v>1.59</v>
      </c>
    </row>
    <row r="33" spans="1:17" ht="15">
      <c r="A33" s="26" t="s">
        <v>21</v>
      </c>
      <c r="B33" s="121">
        <v>40861</v>
      </c>
      <c r="C33" s="109">
        <v>1025</v>
      </c>
      <c r="D33" s="110" t="s">
        <v>42</v>
      </c>
      <c r="E33" s="151">
        <v>6</v>
      </c>
      <c r="F33" s="109"/>
      <c r="G33" s="151"/>
      <c r="H33" s="40">
        <v>8.11</v>
      </c>
      <c r="I33" s="82">
        <v>10.2</v>
      </c>
      <c r="J33" s="82">
        <f>I33-8.3</f>
        <v>1.8999999999999986</v>
      </c>
      <c r="K33" s="40">
        <f>chloride!E46</f>
        <v>111.96527999999996</v>
      </c>
      <c r="L33" s="82">
        <v>10.5</v>
      </c>
      <c r="M33" s="89">
        <v>112</v>
      </c>
      <c r="N33" s="81"/>
      <c r="O33" s="50">
        <v>0.09</v>
      </c>
      <c r="P33" s="51">
        <v>0.12</v>
      </c>
      <c r="Q33" s="52">
        <v>2.28</v>
      </c>
    </row>
    <row r="34" spans="1:17" ht="15">
      <c r="A34" s="26" t="s">
        <v>22</v>
      </c>
      <c r="B34" s="121">
        <v>40861</v>
      </c>
      <c r="C34" s="109">
        <v>1010</v>
      </c>
      <c r="D34" s="110" t="s">
        <v>42</v>
      </c>
      <c r="E34" s="151">
        <v>6</v>
      </c>
      <c r="F34" s="109"/>
      <c r="G34" s="151"/>
      <c r="H34" s="40">
        <v>7.77</v>
      </c>
      <c r="I34" s="82">
        <v>8.5</v>
      </c>
      <c r="J34" s="82">
        <f>I34-6.7</f>
        <v>1.7999999999999998</v>
      </c>
      <c r="K34" s="40">
        <f>chloride!E47</f>
        <v>101.96838000000001</v>
      </c>
      <c r="L34" s="82">
        <v>15</v>
      </c>
      <c r="M34" s="89">
        <v>68</v>
      </c>
      <c r="N34" s="81"/>
      <c r="O34" s="50">
        <v>0.1</v>
      </c>
      <c r="P34" s="51">
        <v>0.12</v>
      </c>
      <c r="Q34" s="52">
        <v>2.54</v>
      </c>
    </row>
    <row r="35" spans="1:17" ht="15">
      <c r="A35" s="26" t="s">
        <v>1</v>
      </c>
      <c r="B35" s="121">
        <v>40861</v>
      </c>
      <c r="C35" s="109">
        <v>949</v>
      </c>
      <c r="D35" s="110" t="s">
        <v>42</v>
      </c>
      <c r="E35" s="151">
        <v>5.5</v>
      </c>
      <c r="F35" s="109"/>
      <c r="G35" s="151"/>
      <c r="H35" s="40">
        <v>7.63</v>
      </c>
      <c r="I35" s="82">
        <v>8.1</v>
      </c>
      <c r="J35" s="82">
        <f>I35-5.9</f>
        <v>2.1999999999999993</v>
      </c>
      <c r="K35" s="40">
        <f>chloride!E48</f>
        <v>123.96156</v>
      </c>
      <c r="L35" s="82">
        <v>6.5</v>
      </c>
      <c r="M35" s="89">
        <v>105</v>
      </c>
      <c r="N35" s="81"/>
      <c r="O35" s="50">
        <v>0.14</v>
      </c>
      <c r="P35" s="51">
        <v>0.23</v>
      </c>
      <c r="Q35" s="52">
        <v>1.3</v>
      </c>
    </row>
    <row r="36" spans="1:17" ht="15">
      <c r="A36" s="26" t="s">
        <v>2</v>
      </c>
      <c r="B36" s="121">
        <v>40861</v>
      </c>
      <c r="C36" s="112" t="s">
        <v>59</v>
      </c>
      <c r="D36" s="110" t="s">
        <v>43</v>
      </c>
      <c r="E36" s="146" t="s">
        <v>59</v>
      </c>
      <c r="F36" s="109"/>
      <c r="G36" s="151"/>
      <c r="H36" s="40">
        <v>8.21</v>
      </c>
      <c r="I36" s="82">
        <v>10.9</v>
      </c>
      <c r="J36" s="82">
        <f>I36-8.8</f>
        <v>2.0999999999999996</v>
      </c>
      <c r="K36" s="40">
        <f>chloride!E49</f>
        <v>114.96435</v>
      </c>
      <c r="L36" s="82">
        <v>7.5</v>
      </c>
      <c r="M36" s="89">
        <v>189</v>
      </c>
      <c r="N36" s="81">
        <v>92</v>
      </c>
      <c r="O36" s="50">
        <v>0.1</v>
      </c>
      <c r="P36" s="51">
        <v>0.08</v>
      </c>
      <c r="Q36" s="52">
        <v>2.06</v>
      </c>
    </row>
    <row r="37" spans="1:17" ht="15">
      <c r="A37" s="26" t="s">
        <v>3</v>
      </c>
      <c r="B37" s="121">
        <v>40861</v>
      </c>
      <c r="C37" s="112">
        <v>958</v>
      </c>
      <c r="D37" s="110" t="s">
        <v>42</v>
      </c>
      <c r="E37" s="146">
        <v>6</v>
      </c>
      <c r="F37" s="112"/>
      <c r="G37" s="146"/>
      <c r="H37" s="40">
        <v>7.71</v>
      </c>
      <c r="I37" s="82">
        <v>8.2</v>
      </c>
      <c r="J37" s="82">
        <f>I37-6.7</f>
        <v>1.4999999999999991</v>
      </c>
      <c r="K37" s="40">
        <f>chloride!E50</f>
        <v>106.96682999999999</v>
      </c>
      <c r="L37" s="82">
        <v>10.5</v>
      </c>
      <c r="M37" s="89">
        <v>120</v>
      </c>
      <c r="N37" s="81"/>
      <c r="O37" s="50">
        <v>0.13</v>
      </c>
      <c r="P37" s="51">
        <v>0.13</v>
      </c>
      <c r="Q37" s="52">
        <v>2.41</v>
      </c>
    </row>
    <row r="38" spans="1:17" ht="15.75" thickBot="1">
      <c r="A38" s="27" t="s">
        <v>4</v>
      </c>
      <c r="B38" s="122">
        <v>40861</v>
      </c>
      <c r="C38" s="116">
        <v>940</v>
      </c>
      <c r="D38" s="115" t="s">
        <v>42</v>
      </c>
      <c r="E38" s="147">
        <v>7</v>
      </c>
      <c r="F38" s="115"/>
      <c r="G38" s="152"/>
      <c r="H38" s="41">
        <v>7.72</v>
      </c>
      <c r="I38" s="84">
        <v>8</v>
      </c>
      <c r="J38" s="84">
        <f>I38-7.2</f>
        <v>0.7999999999999998</v>
      </c>
      <c r="K38" s="41">
        <f>chloride!E51</f>
        <v>77.97581999999997</v>
      </c>
      <c r="L38" s="84">
        <v>0.5</v>
      </c>
      <c r="M38" s="90">
        <v>19</v>
      </c>
      <c r="N38" s="83"/>
      <c r="O38" s="54">
        <v>0.11</v>
      </c>
      <c r="P38" s="55">
        <v>0.07</v>
      </c>
      <c r="Q38" s="56">
        <v>3.98</v>
      </c>
    </row>
    <row r="39" spans="2:13" ht="15.75" thickBot="1">
      <c r="B39" s="127"/>
      <c r="E39" s="159"/>
      <c r="G39" s="154"/>
      <c r="M39" s="99"/>
    </row>
    <row r="40" spans="1:17" ht="15">
      <c r="A40" s="25" t="s">
        <v>19</v>
      </c>
      <c r="B40" s="104">
        <v>40896</v>
      </c>
      <c r="C40" s="105">
        <v>1315</v>
      </c>
      <c r="D40" s="106" t="s">
        <v>65</v>
      </c>
      <c r="E40" s="150">
        <v>4.4</v>
      </c>
      <c r="F40" s="105">
        <v>0</v>
      </c>
      <c r="G40" s="150">
        <v>76</v>
      </c>
      <c r="H40" s="39">
        <v>8.15</v>
      </c>
      <c r="I40" s="80">
        <v>12</v>
      </c>
      <c r="J40" s="80">
        <f>I40-8</f>
        <v>4</v>
      </c>
      <c r="K40" s="39">
        <f>chloride!E57</f>
        <v>114.96435</v>
      </c>
      <c r="L40" s="80">
        <v>11</v>
      </c>
      <c r="M40" s="88">
        <v>75</v>
      </c>
      <c r="N40" s="79"/>
      <c r="O40" s="64" t="s">
        <v>67</v>
      </c>
      <c r="P40" s="64" t="s">
        <v>67</v>
      </c>
      <c r="Q40" s="65" t="s">
        <v>67</v>
      </c>
    </row>
    <row r="41" spans="1:17" ht="15">
      <c r="A41" s="26" t="s">
        <v>20</v>
      </c>
      <c r="B41" s="121">
        <v>40896</v>
      </c>
      <c r="C41" s="109">
        <v>1330</v>
      </c>
      <c r="D41" s="110" t="s">
        <v>65</v>
      </c>
      <c r="E41" s="151">
        <v>6.3</v>
      </c>
      <c r="F41" s="109"/>
      <c r="G41" s="151"/>
      <c r="H41" s="40">
        <v>8.03</v>
      </c>
      <c r="I41" s="82">
        <v>12.1</v>
      </c>
      <c r="J41" s="82">
        <f>I41-8.1</f>
        <v>4</v>
      </c>
      <c r="K41" s="40">
        <f>chloride!E58</f>
        <v>147.95412</v>
      </c>
      <c r="L41" s="82">
        <v>3.5</v>
      </c>
      <c r="M41" s="89">
        <v>96</v>
      </c>
      <c r="N41" s="81"/>
      <c r="O41" s="66" t="s">
        <v>67</v>
      </c>
      <c r="P41" s="66" t="s">
        <v>67</v>
      </c>
      <c r="Q41" s="67" t="s">
        <v>67</v>
      </c>
    </row>
    <row r="42" spans="1:17" ht="15">
      <c r="A42" s="26" t="s">
        <v>21</v>
      </c>
      <c r="B42" s="121">
        <v>40896</v>
      </c>
      <c r="C42" s="109">
        <v>1105</v>
      </c>
      <c r="D42" s="110" t="s">
        <v>64</v>
      </c>
      <c r="E42" s="151">
        <v>2.5</v>
      </c>
      <c r="F42" s="109"/>
      <c r="G42" s="151"/>
      <c r="H42" s="40">
        <v>8.09</v>
      </c>
      <c r="I42" s="82">
        <v>12.6</v>
      </c>
      <c r="J42" s="82">
        <f>I42-7.1</f>
        <v>5.5</v>
      </c>
      <c r="K42" s="40">
        <f>chloride!E59</f>
        <v>99.969</v>
      </c>
      <c r="L42" s="82">
        <v>11</v>
      </c>
      <c r="M42" s="89">
        <v>32</v>
      </c>
      <c r="N42" s="81"/>
      <c r="O42" s="66" t="s">
        <v>67</v>
      </c>
      <c r="P42" s="66" t="s">
        <v>67</v>
      </c>
      <c r="Q42" s="67" t="s">
        <v>67</v>
      </c>
    </row>
    <row r="43" spans="1:17" ht="15">
      <c r="A43" s="26" t="s">
        <v>22</v>
      </c>
      <c r="B43" s="121">
        <v>40896</v>
      </c>
      <c r="C43" s="109">
        <v>1050</v>
      </c>
      <c r="D43" s="110" t="s">
        <v>64</v>
      </c>
      <c r="E43" s="151">
        <v>2</v>
      </c>
      <c r="F43" s="109"/>
      <c r="G43" s="151"/>
      <c r="H43" s="40">
        <v>7.87</v>
      </c>
      <c r="I43" s="82">
        <v>10.8</v>
      </c>
      <c r="J43" s="82">
        <f>I43-7</f>
        <v>3.8000000000000007</v>
      </c>
      <c r="K43" s="40">
        <f>chloride!E60</f>
        <v>97.96962000000003</v>
      </c>
      <c r="L43" s="82">
        <v>13.5</v>
      </c>
      <c r="M43" s="89">
        <v>64</v>
      </c>
      <c r="N43" s="81"/>
      <c r="O43" s="66" t="s">
        <v>67</v>
      </c>
      <c r="P43" s="66" t="s">
        <v>67</v>
      </c>
      <c r="Q43" s="67" t="s">
        <v>67</v>
      </c>
    </row>
    <row r="44" spans="1:17" ht="15">
      <c r="A44" s="26" t="s">
        <v>1</v>
      </c>
      <c r="B44" s="121">
        <v>40896</v>
      </c>
      <c r="C44" s="109">
        <v>1025</v>
      </c>
      <c r="D44" s="110" t="s">
        <v>64</v>
      </c>
      <c r="E44" s="151">
        <v>2</v>
      </c>
      <c r="F44" s="109"/>
      <c r="G44" s="151"/>
      <c r="H44" s="40">
        <v>7.76</v>
      </c>
      <c r="I44" s="82">
        <v>10.4</v>
      </c>
      <c r="J44" s="82">
        <f>I44-5.4</f>
        <v>5</v>
      </c>
      <c r="K44" s="40">
        <f>chloride!E61</f>
        <v>87.97271999999997</v>
      </c>
      <c r="L44" s="82">
        <v>10</v>
      </c>
      <c r="M44" s="89">
        <v>16</v>
      </c>
      <c r="N44" s="81"/>
      <c r="O44" s="66" t="s">
        <v>67</v>
      </c>
      <c r="P44" s="66" t="s">
        <v>67</v>
      </c>
      <c r="Q44" s="67" t="s">
        <v>67</v>
      </c>
    </row>
    <row r="45" spans="1:17" ht="15">
      <c r="A45" s="26" t="s">
        <v>2</v>
      </c>
      <c r="B45" s="121">
        <v>40896</v>
      </c>
      <c r="C45" s="109">
        <v>1004</v>
      </c>
      <c r="D45" s="110" t="s">
        <v>60</v>
      </c>
      <c r="E45" s="151">
        <v>4.8</v>
      </c>
      <c r="F45" s="109"/>
      <c r="G45" s="151"/>
      <c r="H45" s="40">
        <v>8.18</v>
      </c>
      <c r="I45" s="82">
        <v>12.3</v>
      </c>
      <c r="J45" s="82">
        <f>I45-6.4</f>
        <v>5.9</v>
      </c>
      <c r="K45" s="40">
        <f>chloride!E62</f>
        <v>117.96341999999999</v>
      </c>
      <c r="L45" s="82">
        <v>11.5</v>
      </c>
      <c r="M45" s="89">
        <v>100</v>
      </c>
      <c r="N45" s="81">
        <v>80</v>
      </c>
      <c r="O45" s="66" t="s">
        <v>67</v>
      </c>
      <c r="P45" s="66" t="s">
        <v>67</v>
      </c>
      <c r="Q45" s="67" t="s">
        <v>67</v>
      </c>
    </row>
    <row r="46" spans="1:17" ht="15">
      <c r="A46" s="26" t="s">
        <v>3</v>
      </c>
      <c r="B46" s="121">
        <v>40896</v>
      </c>
      <c r="C46" s="112">
        <v>1035</v>
      </c>
      <c r="D46" s="110" t="s">
        <v>64</v>
      </c>
      <c r="E46" s="146">
        <v>3</v>
      </c>
      <c r="F46" s="112"/>
      <c r="G46" s="146"/>
      <c r="H46" s="40">
        <v>7.85</v>
      </c>
      <c r="I46" s="82">
        <v>10.3</v>
      </c>
      <c r="J46" s="82">
        <f>I46-7.1</f>
        <v>3.200000000000001</v>
      </c>
      <c r="K46" s="40">
        <f>chloride!E63</f>
        <v>83.97396000000005</v>
      </c>
      <c r="L46" s="82">
        <v>21.5</v>
      </c>
      <c r="M46" s="89">
        <v>45</v>
      </c>
      <c r="N46" s="81"/>
      <c r="O46" s="66" t="s">
        <v>67</v>
      </c>
      <c r="P46" s="66" t="s">
        <v>67</v>
      </c>
      <c r="Q46" s="67" t="s">
        <v>67</v>
      </c>
    </row>
    <row r="47" spans="1:17" ht="15.75" thickBot="1">
      <c r="A47" s="27" t="s">
        <v>4</v>
      </c>
      <c r="B47" s="122">
        <v>40896</v>
      </c>
      <c r="C47" s="116">
        <v>1020</v>
      </c>
      <c r="D47" s="115" t="s">
        <v>42</v>
      </c>
      <c r="E47" s="147">
        <v>4.5</v>
      </c>
      <c r="F47" s="115"/>
      <c r="G47" s="152"/>
      <c r="H47" s="41">
        <v>7.86</v>
      </c>
      <c r="I47" s="84">
        <v>10.4</v>
      </c>
      <c r="J47" s="84">
        <f>I47-6.9</f>
        <v>3.5</v>
      </c>
      <c r="K47" s="41">
        <f>chloride!E64</f>
        <v>73.97706</v>
      </c>
      <c r="L47" s="84">
        <v>6.5</v>
      </c>
      <c r="M47" s="90">
        <v>29</v>
      </c>
      <c r="N47" s="83"/>
      <c r="O47" s="68" t="s">
        <v>67</v>
      </c>
      <c r="P47" s="68" t="s">
        <v>67</v>
      </c>
      <c r="Q47" s="69" t="s">
        <v>67</v>
      </c>
    </row>
    <row r="48" spans="5:7" ht="15.75" thickBot="1">
      <c r="E48" s="159"/>
      <c r="G48" s="154"/>
    </row>
    <row r="49" spans="1:18" ht="15">
      <c r="A49" s="25" t="s">
        <v>19</v>
      </c>
      <c r="B49" s="104">
        <v>40917</v>
      </c>
      <c r="C49" s="107" t="s">
        <v>59</v>
      </c>
      <c r="D49" s="106" t="s">
        <v>66</v>
      </c>
      <c r="E49" s="150">
        <v>0.6</v>
      </c>
      <c r="F49" s="107">
        <v>0</v>
      </c>
      <c r="G49" s="150">
        <v>27</v>
      </c>
      <c r="H49" s="39">
        <v>8.16</v>
      </c>
      <c r="I49" s="93" t="s">
        <v>61</v>
      </c>
      <c r="J49" s="80">
        <f>12.2-9.2</f>
        <v>3</v>
      </c>
      <c r="K49" s="39">
        <f>chloride!E70</f>
        <v>148.95380999999998</v>
      </c>
      <c r="L49" s="80">
        <v>4.5</v>
      </c>
      <c r="M49" s="88">
        <v>476</v>
      </c>
      <c r="N49" s="79"/>
      <c r="O49" s="64" t="s">
        <v>67</v>
      </c>
      <c r="P49" s="64" t="s">
        <v>67</v>
      </c>
      <c r="Q49" s="65" t="s">
        <v>67</v>
      </c>
      <c r="R49" t="s">
        <v>63</v>
      </c>
    </row>
    <row r="50" spans="1:17" ht="15">
      <c r="A50" s="26" t="s">
        <v>20</v>
      </c>
      <c r="B50" s="121">
        <v>40917</v>
      </c>
      <c r="C50" s="112" t="s">
        <v>59</v>
      </c>
      <c r="D50" s="110" t="s">
        <v>66</v>
      </c>
      <c r="E50" s="151">
        <v>0.9</v>
      </c>
      <c r="F50" s="109"/>
      <c r="G50" s="151"/>
      <c r="H50" s="40">
        <v>7.99</v>
      </c>
      <c r="I50" s="100" t="s">
        <v>62</v>
      </c>
      <c r="J50" s="82">
        <f>11.5-8.7</f>
        <v>2.8000000000000007</v>
      </c>
      <c r="K50" s="40">
        <f>chloride!E71</f>
        <v>153.95226</v>
      </c>
      <c r="L50" s="82">
        <v>4</v>
      </c>
      <c r="M50" s="89">
        <v>588</v>
      </c>
      <c r="N50" s="81"/>
      <c r="O50" s="66" t="s">
        <v>67</v>
      </c>
      <c r="P50" s="66" t="s">
        <v>67</v>
      </c>
      <c r="Q50" s="67" t="s">
        <v>67</v>
      </c>
    </row>
    <row r="51" spans="1:17" ht="15">
      <c r="A51" s="26" t="s">
        <v>21</v>
      </c>
      <c r="B51" s="121">
        <v>40917</v>
      </c>
      <c r="C51" s="109">
        <v>1215</v>
      </c>
      <c r="D51" s="110" t="s">
        <v>42</v>
      </c>
      <c r="E51" s="151">
        <v>2</v>
      </c>
      <c r="F51" s="109"/>
      <c r="G51" s="151"/>
      <c r="H51" s="40">
        <v>8.33</v>
      </c>
      <c r="I51" s="82">
        <v>13.4</v>
      </c>
      <c r="J51" s="82">
        <f>I51-9.4</f>
        <v>4</v>
      </c>
      <c r="K51" s="40">
        <f>chloride!E72</f>
        <v>116.96372999999998</v>
      </c>
      <c r="L51" s="82">
        <v>4.5</v>
      </c>
      <c r="M51" s="89">
        <v>256</v>
      </c>
      <c r="N51" s="81"/>
      <c r="O51" s="66" t="s">
        <v>67</v>
      </c>
      <c r="P51" s="66" t="s">
        <v>67</v>
      </c>
      <c r="Q51" s="67" t="s">
        <v>67</v>
      </c>
    </row>
    <row r="52" spans="1:17" ht="15">
      <c r="A52" s="26" t="s">
        <v>22</v>
      </c>
      <c r="B52" s="121">
        <v>40917</v>
      </c>
      <c r="C52" s="109">
        <v>1158</v>
      </c>
      <c r="D52" s="110" t="s">
        <v>42</v>
      </c>
      <c r="E52" s="146" t="s">
        <v>59</v>
      </c>
      <c r="F52" s="109"/>
      <c r="G52" s="151"/>
      <c r="H52" s="40">
        <v>8</v>
      </c>
      <c r="I52" s="82">
        <v>12.2</v>
      </c>
      <c r="J52" s="82">
        <f>I52-8.6</f>
        <v>3.5999999999999996</v>
      </c>
      <c r="K52" s="40">
        <f>chloride!E73</f>
        <v>112.96497000000004</v>
      </c>
      <c r="L52" s="82">
        <v>18</v>
      </c>
      <c r="M52" s="89">
        <v>427</v>
      </c>
      <c r="N52" s="81"/>
      <c r="O52" s="66" t="s">
        <v>67</v>
      </c>
      <c r="P52" s="66" t="s">
        <v>67</v>
      </c>
      <c r="Q52" s="67" t="s">
        <v>67</v>
      </c>
    </row>
    <row r="53" spans="1:19" ht="15">
      <c r="A53" s="26" t="s">
        <v>1</v>
      </c>
      <c r="B53" s="121">
        <v>40917</v>
      </c>
      <c r="C53" s="109">
        <v>1140</v>
      </c>
      <c r="D53" s="110" t="s">
        <v>42</v>
      </c>
      <c r="E53" s="146" t="s">
        <v>59</v>
      </c>
      <c r="F53" s="109"/>
      <c r="G53" s="151"/>
      <c r="H53" s="40">
        <v>7.72</v>
      </c>
      <c r="I53" s="82">
        <v>11.3</v>
      </c>
      <c r="J53" s="82">
        <f>I53-8.3</f>
        <v>3</v>
      </c>
      <c r="K53" s="40">
        <f>chloride!E74</f>
        <v>116.96372999999998</v>
      </c>
      <c r="L53" s="82">
        <v>13.5</v>
      </c>
      <c r="M53" s="89">
        <v>26</v>
      </c>
      <c r="N53" s="81"/>
      <c r="O53" s="66" t="s">
        <v>67</v>
      </c>
      <c r="P53" s="66" t="s">
        <v>67</v>
      </c>
      <c r="Q53" s="67" t="s">
        <v>67</v>
      </c>
      <c r="S53" s="14"/>
    </row>
    <row r="54" spans="1:19" ht="15">
      <c r="A54" s="26" t="s">
        <v>2</v>
      </c>
      <c r="B54" s="121">
        <v>40917</v>
      </c>
      <c r="C54" s="109">
        <v>1435</v>
      </c>
      <c r="D54" s="110" t="s">
        <v>43</v>
      </c>
      <c r="E54" s="146" t="s">
        <v>59</v>
      </c>
      <c r="F54" s="109"/>
      <c r="G54" s="151"/>
      <c r="H54" s="40">
        <v>8.63</v>
      </c>
      <c r="I54" s="82">
        <v>14.1</v>
      </c>
      <c r="J54" s="82">
        <f>I54-9.7</f>
        <v>4.4</v>
      </c>
      <c r="K54" s="40">
        <f>chloride!E75</f>
        <v>143.95536</v>
      </c>
      <c r="L54" s="82">
        <v>1.5</v>
      </c>
      <c r="M54" s="89">
        <v>264</v>
      </c>
      <c r="N54" s="81">
        <v>396</v>
      </c>
      <c r="O54" s="66" t="s">
        <v>67</v>
      </c>
      <c r="P54" s="66" t="s">
        <v>67</v>
      </c>
      <c r="Q54" s="67" t="s">
        <v>67</v>
      </c>
      <c r="S54" s="14"/>
    </row>
    <row r="55" spans="1:19" ht="15">
      <c r="A55" s="26" t="s">
        <v>3</v>
      </c>
      <c r="B55" s="121">
        <v>40917</v>
      </c>
      <c r="C55" s="112">
        <v>1150</v>
      </c>
      <c r="D55" s="110" t="s">
        <v>42</v>
      </c>
      <c r="E55" s="146">
        <v>0</v>
      </c>
      <c r="F55" s="112"/>
      <c r="G55" s="146"/>
      <c r="H55" s="40">
        <v>7.93</v>
      </c>
      <c r="I55" s="82">
        <v>12</v>
      </c>
      <c r="J55" s="82">
        <f>I55-8.7</f>
        <v>3.3000000000000007</v>
      </c>
      <c r="K55" s="40">
        <f>chloride!E76</f>
        <v>90.97179</v>
      </c>
      <c r="L55" s="82">
        <v>4.5</v>
      </c>
      <c r="M55" s="89">
        <v>7</v>
      </c>
      <c r="N55" s="81"/>
      <c r="O55" s="66" t="s">
        <v>67</v>
      </c>
      <c r="P55" s="66" t="s">
        <v>67</v>
      </c>
      <c r="Q55" s="67" t="s">
        <v>67</v>
      </c>
      <c r="S55" s="14"/>
    </row>
    <row r="56" spans="1:19" ht="15.75" thickBot="1">
      <c r="A56" s="27" t="s">
        <v>4</v>
      </c>
      <c r="B56" s="122">
        <v>40917</v>
      </c>
      <c r="C56" s="116">
        <v>1133</v>
      </c>
      <c r="D56" s="115" t="s">
        <v>42</v>
      </c>
      <c r="E56" s="147">
        <v>0</v>
      </c>
      <c r="F56" s="115"/>
      <c r="G56" s="152"/>
      <c r="H56" s="41">
        <v>7.92</v>
      </c>
      <c r="I56" s="84">
        <v>11.6</v>
      </c>
      <c r="J56" s="84">
        <f>I56-9.3</f>
        <v>2.299999999999999</v>
      </c>
      <c r="K56" s="41">
        <f>chloride!E77</f>
        <v>87.97272000000001</v>
      </c>
      <c r="L56" s="84">
        <v>3.5</v>
      </c>
      <c r="M56" s="90">
        <v>82</v>
      </c>
      <c r="N56" s="83"/>
      <c r="O56" s="68" t="s">
        <v>67</v>
      </c>
      <c r="P56" s="68" t="s">
        <v>67</v>
      </c>
      <c r="Q56" s="69" t="s">
        <v>67</v>
      </c>
      <c r="S56" s="14"/>
    </row>
    <row r="57" spans="5:19" ht="15.75" thickBot="1">
      <c r="E57" s="159"/>
      <c r="G57" s="154"/>
      <c r="S57" s="14"/>
    </row>
    <row r="58" spans="1:17" ht="15">
      <c r="A58" s="25" t="s">
        <v>19</v>
      </c>
      <c r="B58" s="104">
        <v>40959</v>
      </c>
      <c r="C58" s="130">
        <v>1045</v>
      </c>
      <c r="D58" s="106" t="s">
        <v>68</v>
      </c>
      <c r="E58" s="150">
        <v>3.3</v>
      </c>
      <c r="F58" s="105">
        <v>0</v>
      </c>
      <c r="G58" s="150">
        <v>20</v>
      </c>
      <c r="H58" s="39">
        <v>8.38</v>
      </c>
      <c r="I58" s="80">
        <v>15</v>
      </c>
      <c r="J58" s="80">
        <f>I58-9.5</f>
        <v>5.5</v>
      </c>
      <c r="K58" s="39">
        <f>chloride!E83</f>
        <v>154.95195</v>
      </c>
      <c r="L58" s="80">
        <v>3</v>
      </c>
      <c r="M58" s="88">
        <v>134</v>
      </c>
      <c r="N58" s="79"/>
      <c r="O58" s="47">
        <v>0.07</v>
      </c>
      <c r="P58" s="48">
        <v>0.08</v>
      </c>
      <c r="Q58" s="135" t="s">
        <v>72</v>
      </c>
    </row>
    <row r="59" spans="1:17" ht="15">
      <c r="A59" s="26" t="s">
        <v>20</v>
      </c>
      <c r="B59" s="121">
        <v>40959</v>
      </c>
      <c r="C59" s="131">
        <v>1050</v>
      </c>
      <c r="D59" s="110" t="s">
        <v>68</v>
      </c>
      <c r="E59" s="151">
        <v>3.3</v>
      </c>
      <c r="F59" s="109"/>
      <c r="G59" s="151"/>
      <c r="H59" s="40">
        <v>8.17</v>
      </c>
      <c r="I59" s="82">
        <v>14.3</v>
      </c>
      <c r="J59" s="82">
        <f>I59-10.4</f>
        <v>3.9000000000000004</v>
      </c>
      <c r="K59" s="40">
        <f>chloride!E84</f>
        <v>170.94699</v>
      </c>
      <c r="L59" s="82">
        <v>7</v>
      </c>
      <c r="M59" s="89">
        <v>92</v>
      </c>
      <c r="N59" s="81"/>
      <c r="O59" s="50">
        <v>0.06</v>
      </c>
      <c r="P59" s="51">
        <v>0.07</v>
      </c>
      <c r="Q59" s="137" t="s">
        <v>75</v>
      </c>
    </row>
    <row r="60" spans="1:17" ht="15">
      <c r="A60" s="26" t="s">
        <v>21</v>
      </c>
      <c r="B60" s="121">
        <v>40959</v>
      </c>
      <c r="C60" s="131">
        <v>915</v>
      </c>
      <c r="D60" s="110" t="s">
        <v>42</v>
      </c>
      <c r="E60" s="151">
        <v>-2</v>
      </c>
      <c r="F60" s="109"/>
      <c r="G60" s="151"/>
      <c r="H60" s="40">
        <v>8.26</v>
      </c>
      <c r="I60" s="82">
        <v>13.6</v>
      </c>
      <c r="J60" s="82">
        <f>I60-9</f>
        <v>4.6</v>
      </c>
      <c r="K60" s="40">
        <f>chloride!E85</f>
        <v>144.95505</v>
      </c>
      <c r="L60" s="82">
        <v>8.5</v>
      </c>
      <c r="M60" s="89">
        <v>300</v>
      </c>
      <c r="N60" s="81"/>
      <c r="O60" s="50">
        <v>0.04</v>
      </c>
      <c r="P60" s="51">
        <v>0.16</v>
      </c>
      <c r="Q60" s="137" t="s">
        <v>74</v>
      </c>
    </row>
    <row r="61" spans="1:17" ht="15">
      <c r="A61" s="26" t="s">
        <v>22</v>
      </c>
      <c r="B61" s="121">
        <v>40959</v>
      </c>
      <c r="C61" s="131">
        <v>900</v>
      </c>
      <c r="D61" s="110" t="s">
        <v>42</v>
      </c>
      <c r="E61" s="151">
        <v>-0.5</v>
      </c>
      <c r="F61" s="109"/>
      <c r="G61" s="151"/>
      <c r="H61" s="40">
        <v>7.95</v>
      </c>
      <c r="I61" s="82">
        <v>11.8</v>
      </c>
      <c r="J61" s="82">
        <f>I61-8.4</f>
        <v>3.4000000000000004</v>
      </c>
      <c r="K61" s="40">
        <f>chloride!E86</f>
        <v>128.96001</v>
      </c>
      <c r="L61" s="82">
        <v>4.5</v>
      </c>
      <c r="M61" s="89">
        <v>360</v>
      </c>
      <c r="N61" s="81"/>
      <c r="O61" s="50">
        <v>0.06</v>
      </c>
      <c r="P61" s="51">
        <v>0.16</v>
      </c>
      <c r="Q61" s="137" t="s">
        <v>73</v>
      </c>
    </row>
    <row r="62" spans="1:17" ht="15">
      <c r="A62" s="26" t="s">
        <v>1</v>
      </c>
      <c r="B62" s="121">
        <v>40959</v>
      </c>
      <c r="C62" s="131">
        <v>840</v>
      </c>
      <c r="D62" s="110" t="s">
        <v>42</v>
      </c>
      <c r="E62" s="151">
        <v>-1</v>
      </c>
      <c r="F62" s="109"/>
      <c r="G62" s="151"/>
      <c r="H62" s="40">
        <v>7.74</v>
      </c>
      <c r="I62" s="82">
        <v>10.5</v>
      </c>
      <c r="J62" s="82">
        <f>I62-8.1</f>
        <v>2.4000000000000004</v>
      </c>
      <c r="K62" s="40">
        <f>chloride!E87</f>
        <v>126.96062999999998</v>
      </c>
      <c r="L62" s="82">
        <v>16</v>
      </c>
      <c r="M62" s="89">
        <v>16</v>
      </c>
      <c r="N62" s="81"/>
      <c r="O62" s="50">
        <v>0.07</v>
      </c>
      <c r="P62" s="51">
        <v>0.07</v>
      </c>
      <c r="Q62" s="137" t="s">
        <v>70</v>
      </c>
    </row>
    <row r="63" spans="1:17" ht="15">
      <c r="A63" s="26" t="s">
        <v>2</v>
      </c>
      <c r="B63" s="121">
        <v>40959</v>
      </c>
      <c r="C63" s="132" t="s">
        <v>59</v>
      </c>
      <c r="D63" s="110"/>
      <c r="E63" s="146" t="s">
        <v>59</v>
      </c>
      <c r="F63" s="109"/>
      <c r="G63" s="151"/>
      <c r="H63" s="40">
        <v>8.72</v>
      </c>
      <c r="I63" s="82">
        <v>16.2</v>
      </c>
      <c r="J63" s="82">
        <f>I63-12.2</f>
        <v>4</v>
      </c>
      <c r="K63" s="40">
        <f>chloride!E88</f>
        <v>172.94637</v>
      </c>
      <c r="L63" s="82">
        <v>5.5</v>
      </c>
      <c r="M63" s="89"/>
      <c r="N63" s="81">
        <v>109</v>
      </c>
      <c r="O63" s="50">
        <v>0.03</v>
      </c>
      <c r="P63" s="51">
        <v>0.03</v>
      </c>
      <c r="Q63" s="137" t="s">
        <v>76</v>
      </c>
    </row>
    <row r="64" spans="1:17" ht="15">
      <c r="A64" s="26" t="s">
        <v>3</v>
      </c>
      <c r="B64" s="121">
        <v>40959</v>
      </c>
      <c r="C64" s="132">
        <v>845</v>
      </c>
      <c r="D64" s="110" t="s">
        <v>42</v>
      </c>
      <c r="E64" s="146">
        <v>-2</v>
      </c>
      <c r="F64" s="112"/>
      <c r="G64" s="146"/>
      <c r="H64" s="40">
        <v>7.94</v>
      </c>
      <c r="I64" s="82">
        <v>11.9</v>
      </c>
      <c r="J64" s="82">
        <f>I64-8.8</f>
        <v>3.0999999999999996</v>
      </c>
      <c r="K64" s="40">
        <f>chloride!E89</f>
        <v>103.96776</v>
      </c>
      <c r="L64" s="82">
        <v>15</v>
      </c>
      <c r="M64" s="89">
        <v>69</v>
      </c>
      <c r="N64" s="81"/>
      <c r="O64" s="50">
        <v>0.04</v>
      </c>
      <c r="P64" s="51">
        <v>0.06</v>
      </c>
      <c r="Q64" s="137" t="s">
        <v>71</v>
      </c>
    </row>
    <row r="65" spans="1:17" ht="15.75" thickBot="1">
      <c r="A65" s="27" t="s">
        <v>4</v>
      </c>
      <c r="B65" s="122">
        <v>40959</v>
      </c>
      <c r="C65" s="126">
        <v>830</v>
      </c>
      <c r="D65" s="115" t="s">
        <v>42</v>
      </c>
      <c r="E65" s="147">
        <v>-1</v>
      </c>
      <c r="F65" s="115"/>
      <c r="G65" s="152"/>
      <c r="H65" s="41">
        <v>7.89</v>
      </c>
      <c r="I65" s="84">
        <v>11.2</v>
      </c>
      <c r="J65" s="84">
        <f>I65-8.9</f>
        <v>2.299999999999999</v>
      </c>
      <c r="K65" s="41">
        <f>chloride!E90</f>
        <v>89.9721</v>
      </c>
      <c r="L65" s="84">
        <v>9.5</v>
      </c>
      <c r="M65" s="90">
        <v>18</v>
      </c>
      <c r="N65" s="83"/>
      <c r="O65" s="54">
        <v>0.04</v>
      </c>
      <c r="P65" s="55">
        <v>0.06</v>
      </c>
      <c r="Q65" s="136" t="s">
        <v>69</v>
      </c>
    </row>
    <row r="66" spans="5:7" ht="15.75" thickBot="1">
      <c r="E66" s="159"/>
      <c r="G66" s="154"/>
    </row>
    <row r="67" spans="1:17" ht="15">
      <c r="A67" s="25" t="s">
        <v>19</v>
      </c>
      <c r="B67" s="104">
        <v>40987</v>
      </c>
      <c r="C67" s="105">
        <v>1000</v>
      </c>
      <c r="D67" s="106" t="s">
        <v>84</v>
      </c>
      <c r="E67" s="144" t="s">
        <v>59</v>
      </c>
      <c r="F67" s="105">
        <v>0.1</v>
      </c>
      <c r="G67" s="150">
        <v>31</v>
      </c>
      <c r="H67" s="39">
        <v>8.13</v>
      </c>
      <c r="I67" s="80">
        <v>7.6</v>
      </c>
      <c r="J67" s="80">
        <f>I67-6.3</f>
        <v>1.2999999999999998</v>
      </c>
      <c r="K67" s="39">
        <f>chloride!E96</f>
        <v>163.94915999999998</v>
      </c>
      <c r="L67" s="80">
        <v>4</v>
      </c>
      <c r="M67" s="88">
        <v>58</v>
      </c>
      <c r="N67" s="79"/>
      <c r="O67" s="64" t="s">
        <v>67</v>
      </c>
      <c r="P67" s="64" t="s">
        <v>67</v>
      </c>
      <c r="Q67" s="65" t="s">
        <v>67</v>
      </c>
    </row>
    <row r="68" spans="1:17" ht="15">
      <c r="A68" s="26" t="s">
        <v>20</v>
      </c>
      <c r="B68" s="121">
        <v>40987</v>
      </c>
      <c r="C68" s="109">
        <v>1000</v>
      </c>
      <c r="D68" s="110" t="s">
        <v>84</v>
      </c>
      <c r="E68" s="146" t="s">
        <v>59</v>
      </c>
      <c r="F68" s="109"/>
      <c r="G68" s="151"/>
      <c r="H68" s="40">
        <v>7.95</v>
      </c>
      <c r="I68" s="82">
        <v>7.9</v>
      </c>
      <c r="J68" s="82">
        <f>I68-6.7</f>
        <v>1.2000000000000002</v>
      </c>
      <c r="K68" s="40">
        <f>chloride!E97</f>
        <v>167.94792</v>
      </c>
      <c r="L68" s="82">
        <v>5</v>
      </c>
      <c r="M68" s="89">
        <v>172</v>
      </c>
      <c r="N68" s="81"/>
      <c r="O68" s="66" t="s">
        <v>67</v>
      </c>
      <c r="P68" s="66" t="s">
        <v>67</v>
      </c>
      <c r="Q68" s="67" t="s">
        <v>67</v>
      </c>
    </row>
    <row r="69" spans="1:17" ht="15">
      <c r="A69" s="26" t="s">
        <v>21</v>
      </c>
      <c r="B69" s="121">
        <v>40987</v>
      </c>
      <c r="C69" s="109">
        <v>1005</v>
      </c>
      <c r="D69" s="110" t="s">
        <v>42</v>
      </c>
      <c r="E69" s="151">
        <v>14</v>
      </c>
      <c r="F69" s="109"/>
      <c r="G69" s="151"/>
      <c r="H69" s="40">
        <v>8.22</v>
      </c>
      <c r="I69" s="82">
        <v>8.2</v>
      </c>
      <c r="J69" s="82">
        <f>I69-6.9</f>
        <v>1.299999999999999</v>
      </c>
      <c r="K69" s="40">
        <f>chloride!E98</f>
        <v>160.95009</v>
      </c>
      <c r="L69" s="82">
        <v>4</v>
      </c>
      <c r="M69" s="89">
        <v>109</v>
      </c>
      <c r="N69" s="81"/>
      <c r="O69" s="66" t="s">
        <v>67</v>
      </c>
      <c r="P69" s="66" t="s">
        <v>67</v>
      </c>
      <c r="Q69" s="67" t="s">
        <v>67</v>
      </c>
    </row>
    <row r="70" spans="1:17" ht="15">
      <c r="A70" s="26" t="s">
        <v>22</v>
      </c>
      <c r="B70" s="121">
        <v>40987</v>
      </c>
      <c r="C70" s="109">
        <v>1020</v>
      </c>
      <c r="D70" s="110" t="s">
        <v>42</v>
      </c>
      <c r="E70" s="151">
        <v>14</v>
      </c>
      <c r="F70" s="109"/>
      <c r="G70" s="151"/>
      <c r="H70" s="40">
        <v>7.91</v>
      </c>
      <c r="I70" s="82">
        <v>7.2</v>
      </c>
      <c r="J70" s="82">
        <f>I70-5.9</f>
        <v>1.2999999999999998</v>
      </c>
      <c r="K70" s="40">
        <f>chloride!E99</f>
        <v>133.95846</v>
      </c>
      <c r="L70" s="82">
        <v>12.5</v>
      </c>
      <c r="M70" s="89">
        <v>200</v>
      </c>
      <c r="N70" s="81"/>
      <c r="O70" s="66" t="s">
        <v>67</v>
      </c>
      <c r="P70" s="66" t="s">
        <v>67</v>
      </c>
      <c r="Q70" s="67" t="s">
        <v>67</v>
      </c>
    </row>
    <row r="71" spans="1:17" ht="15">
      <c r="A71" s="26" t="s">
        <v>1</v>
      </c>
      <c r="B71" s="121">
        <v>40987</v>
      </c>
      <c r="C71" s="109">
        <v>1040</v>
      </c>
      <c r="D71" s="110" t="s">
        <v>42</v>
      </c>
      <c r="E71" s="151">
        <v>14</v>
      </c>
      <c r="F71" s="109"/>
      <c r="G71" s="151"/>
      <c r="H71" s="40">
        <v>7.64</v>
      </c>
      <c r="I71" s="82">
        <v>5.4</v>
      </c>
      <c r="J71" s="82">
        <f>I71-2.5</f>
        <v>2.9000000000000004</v>
      </c>
      <c r="K71" s="40">
        <f>chloride!E100</f>
        <v>160.95009000000002</v>
      </c>
      <c r="L71" s="82">
        <v>11</v>
      </c>
      <c r="M71" s="89">
        <v>61</v>
      </c>
      <c r="N71" s="81"/>
      <c r="O71" s="66" t="s">
        <v>67</v>
      </c>
      <c r="P71" s="66" t="s">
        <v>67</v>
      </c>
      <c r="Q71" s="67" t="s">
        <v>67</v>
      </c>
    </row>
    <row r="72" spans="1:17" ht="15">
      <c r="A72" s="26" t="s">
        <v>2</v>
      </c>
      <c r="B72" s="121">
        <v>40987</v>
      </c>
      <c r="C72" s="112" t="s">
        <v>59</v>
      </c>
      <c r="D72" s="110" t="s">
        <v>42</v>
      </c>
      <c r="E72" s="151">
        <v>14</v>
      </c>
      <c r="F72" s="109"/>
      <c r="G72" s="151"/>
      <c r="H72" s="40">
        <v>8.26</v>
      </c>
      <c r="I72" s="82">
        <v>8.4</v>
      </c>
      <c r="J72" s="82">
        <f>I72-7.2</f>
        <v>1.2000000000000002</v>
      </c>
      <c r="K72" s="40">
        <f>chloride!E101</f>
        <v>181.94358</v>
      </c>
      <c r="L72" s="82">
        <v>5.5</v>
      </c>
      <c r="M72" s="89">
        <v>59</v>
      </c>
      <c r="N72" s="81">
        <v>60</v>
      </c>
      <c r="O72" s="66" t="s">
        <v>67</v>
      </c>
      <c r="P72" s="66" t="s">
        <v>67</v>
      </c>
      <c r="Q72" s="67" t="s">
        <v>67</v>
      </c>
    </row>
    <row r="73" spans="1:17" ht="15">
      <c r="A73" s="26" t="s">
        <v>3</v>
      </c>
      <c r="B73" s="121">
        <v>40987</v>
      </c>
      <c r="C73" s="112">
        <v>1030</v>
      </c>
      <c r="D73" s="110" t="s">
        <v>42</v>
      </c>
      <c r="E73" s="146">
        <v>12</v>
      </c>
      <c r="F73" s="112"/>
      <c r="G73" s="146"/>
      <c r="H73" s="40">
        <v>7.81</v>
      </c>
      <c r="I73" s="82">
        <v>7.3</v>
      </c>
      <c r="J73" s="82">
        <f>I73-5.6</f>
        <v>1.7000000000000002</v>
      </c>
      <c r="K73" s="40">
        <f>chloride!E102</f>
        <v>103.96775999999998</v>
      </c>
      <c r="L73" s="82">
        <v>23</v>
      </c>
      <c r="M73" s="89">
        <v>36</v>
      </c>
      <c r="N73" s="81"/>
      <c r="O73" s="66" t="s">
        <v>67</v>
      </c>
      <c r="P73" s="66" t="s">
        <v>67</v>
      </c>
      <c r="Q73" s="67" t="s">
        <v>67</v>
      </c>
    </row>
    <row r="74" spans="1:17" ht="15.75" thickBot="1">
      <c r="A74" s="27" t="s">
        <v>4</v>
      </c>
      <c r="B74" s="122">
        <v>40987</v>
      </c>
      <c r="C74" s="116">
        <v>1050</v>
      </c>
      <c r="D74" s="115" t="s">
        <v>42</v>
      </c>
      <c r="E74" s="147">
        <v>13</v>
      </c>
      <c r="F74" s="115"/>
      <c r="G74" s="152"/>
      <c r="H74" s="41">
        <v>7.77</v>
      </c>
      <c r="I74" s="84">
        <v>6.2</v>
      </c>
      <c r="J74" s="84">
        <f>I74-5.3</f>
        <v>0.9000000000000004</v>
      </c>
      <c r="K74" s="41">
        <f>chloride!E103</f>
        <v>91.97147999999997</v>
      </c>
      <c r="L74" s="84">
        <v>3</v>
      </c>
      <c r="M74" s="90">
        <v>44</v>
      </c>
      <c r="N74" s="83"/>
      <c r="O74" s="68" t="s">
        <v>67</v>
      </c>
      <c r="P74" s="68" t="s">
        <v>67</v>
      </c>
      <c r="Q74" s="69" t="s">
        <v>67</v>
      </c>
    </row>
    <row r="75" spans="5:7" ht="15.75" thickBot="1">
      <c r="E75" s="159"/>
      <c r="G75" s="154"/>
    </row>
    <row r="76" spans="1:17" ht="15">
      <c r="A76" s="25" t="s">
        <v>19</v>
      </c>
      <c r="B76" s="104">
        <v>41015</v>
      </c>
      <c r="C76" s="105">
        <v>1030</v>
      </c>
      <c r="D76" s="106" t="s">
        <v>86</v>
      </c>
      <c r="E76" s="150">
        <v>13</v>
      </c>
      <c r="F76" s="105">
        <v>0.01</v>
      </c>
      <c r="G76" s="150">
        <v>86</v>
      </c>
      <c r="H76" s="39">
        <v>8.06</v>
      </c>
      <c r="I76" s="80">
        <v>7.9</v>
      </c>
      <c r="J76" s="80">
        <f>I76-4</f>
        <v>3.9000000000000004</v>
      </c>
      <c r="K76" s="39">
        <f>chloride!E109</f>
        <v>151.95288</v>
      </c>
      <c r="L76" s="80">
        <v>58.5</v>
      </c>
      <c r="M76" s="88">
        <v>532</v>
      </c>
      <c r="N76" s="79"/>
      <c r="O76" s="64" t="s">
        <v>67</v>
      </c>
      <c r="P76" s="64" t="s">
        <v>67</v>
      </c>
      <c r="Q76" s="65" t="s">
        <v>67</v>
      </c>
    </row>
    <row r="77" spans="1:17" ht="15">
      <c r="A77" s="26" t="s">
        <v>20</v>
      </c>
      <c r="B77" s="121">
        <v>41015</v>
      </c>
      <c r="C77" s="109">
        <v>1030</v>
      </c>
      <c r="D77" s="110" t="s">
        <v>85</v>
      </c>
      <c r="E77" s="151">
        <v>14</v>
      </c>
      <c r="F77" s="109"/>
      <c r="G77" s="151"/>
      <c r="H77" s="40">
        <v>7.98</v>
      </c>
      <c r="I77" s="82">
        <v>8.5</v>
      </c>
      <c r="J77" s="82">
        <f>I77-5</f>
        <v>3.5</v>
      </c>
      <c r="K77" s="40">
        <f>chloride!E110</f>
        <v>163.94915999999998</v>
      </c>
      <c r="L77" s="82">
        <v>7.5</v>
      </c>
      <c r="M77" s="89">
        <v>490</v>
      </c>
      <c r="N77" s="81"/>
      <c r="O77" s="66" t="s">
        <v>67</v>
      </c>
      <c r="P77" s="66" t="s">
        <v>67</v>
      </c>
      <c r="Q77" s="67" t="s">
        <v>67</v>
      </c>
    </row>
    <row r="78" spans="1:17" ht="15">
      <c r="A78" s="26" t="s">
        <v>21</v>
      </c>
      <c r="B78" s="121">
        <v>41015</v>
      </c>
      <c r="C78" s="109">
        <v>1045</v>
      </c>
      <c r="D78" s="110" t="s">
        <v>42</v>
      </c>
      <c r="E78" s="151">
        <v>12</v>
      </c>
      <c r="F78" s="109"/>
      <c r="G78" s="151"/>
      <c r="H78" s="40">
        <v>8.03</v>
      </c>
      <c r="I78" s="82">
        <v>8</v>
      </c>
      <c r="J78" s="82">
        <f>I78-4.5</f>
        <v>3.5</v>
      </c>
      <c r="K78" s="40">
        <f>chloride!E111</f>
        <v>144.95505</v>
      </c>
      <c r="L78" s="82">
        <v>54.5</v>
      </c>
      <c r="M78" s="89">
        <v>610</v>
      </c>
      <c r="N78" s="81"/>
      <c r="O78" s="66" t="s">
        <v>67</v>
      </c>
      <c r="P78" s="66" t="s">
        <v>67</v>
      </c>
      <c r="Q78" s="67" t="s">
        <v>67</v>
      </c>
    </row>
    <row r="79" spans="1:17" ht="15">
      <c r="A79" s="26" t="s">
        <v>22</v>
      </c>
      <c r="B79" s="121">
        <v>41015</v>
      </c>
      <c r="C79" s="109">
        <v>1030</v>
      </c>
      <c r="D79" s="110" t="s">
        <v>42</v>
      </c>
      <c r="E79" s="151">
        <v>12</v>
      </c>
      <c r="F79" s="109"/>
      <c r="G79" s="151"/>
      <c r="H79" s="40">
        <v>7.79</v>
      </c>
      <c r="I79" s="82">
        <v>6.5</v>
      </c>
      <c r="J79" s="82">
        <f>I79-3.4</f>
        <v>3.1</v>
      </c>
      <c r="K79" s="40">
        <f>chloride!E112</f>
        <v>118.96311</v>
      </c>
      <c r="L79" s="82">
        <v>24</v>
      </c>
      <c r="M79" s="89">
        <v>630</v>
      </c>
      <c r="N79" s="81"/>
      <c r="O79" s="66" t="s">
        <v>67</v>
      </c>
      <c r="P79" s="66" t="s">
        <v>67</v>
      </c>
      <c r="Q79" s="67" t="s">
        <v>67</v>
      </c>
    </row>
    <row r="80" spans="1:17" ht="15">
      <c r="A80" s="26" t="s">
        <v>1</v>
      </c>
      <c r="B80" s="121">
        <v>41015</v>
      </c>
      <c r="C80" s="109">
        <v>1010</v>
      </c>
      <c r="D80" s="110" t="s">
        <v>42</v>
      </c>
      <c r="E80" s="151">
        <v>12</v>
      </c>
      <c r="F80" s="109"/>
      <c r="G80" s="151"/>
      <c r="H80" s="140">
        <v>7.71</v>
      </c>
      <c r="I80" s="82">
        <v>6.3</v>
      </c>
      <c r="J80" s="82">
        <f>I80-1.2</f>
        <v>5.1</v>
      </c>
      <c r="K80" s="40">
        <f>chloride!E113</f>
        <v>113.96466000000001</v>
      </c>
      <c r="L80" s="82">
        <v>18</v>
      </c>
      <c r="M80" s="89">
        <v>204</v>
      </c>
      <c r="N80" s="81"/>
      <c r="O80" s="66" t="s">
        <v>67</v>
      </c>
      <c r="P80" s="66" t="s">
        <v>67</v>
      </c>
      <c r="Q80" s="67" t="s">
        <v>67</v>
      </c>
    </row>
    <row r="81" spans="1:17" ht="15">
      <c r="A81" s="26" t="s">
        <v>2</v>
      </c>
      <c r="B81" s="121">
        <v>41015</v>
      </c>
      <c r="C81" s="109">
        <v>1400</v>
      </c>
      <c r="D81" s="110" t="s">
        <v>43</v>
      </c>
      <c r="E81" s="146" t="s">
        <v>59</v>
      </c>
      <c r="F81" s="109"/>
      <c r="G81" s="151"/>
      <c r="H81" s="40">
        <v>8.13</v>
      </c>
      <c r="I81" s="82">
        <v>8.5</v>
      </c>
      <c r="J81" s="82">
        <f>I81-5</f>
        <v>3.5</v>
      </c>
      <c r="K81" s="40">
        <f>chloride!E114</f>
        <v>161.94978</v>
      </c>
      <c r="L81" s="82">
        <v>59.5</v>
      </c>
      <c r="M81" s="89">
        <v>388</v>
      </c>
      <c r="N81" s="81">
        <v>152</v>
      </c>
      <c r="O81" s="66" t="s">
        <v>67</v>
      </c>
      <c r="P81" s="66" t="s">
        <v>67</v>
      </c>
      <c r="Q81" s="67" t="s">
        <v>67</v>
      </c>
    </row>
    <row r="82" spans="1:17" ht="15">
      <c r="A82" s="26" t="s">
        <v>3</v>
      </c>
      <c r="B82" s="121">
        <v>41015</v>
      </c>
      <c r="C82" s="112">
        <v>1020</v>
      </c>
      <c r="D82" s="110" t="s">
        <v>42</v>
      </c>
      <c r="E82" s="146">
        <v>12</v>
      </c>
      <c r="F82" s="112"/>
      <c r="G82" s="146"/>
      <c r="H82" s="40">
        <v>7.74</v>
      </c>
      <c r="I82" s="82">
        <v>6.6</v>
      </c>
      <c r="J82" s="82">
        <f>I82-2.9</f>
        <v>3.6999999999999997</v>
      </c>
      <c r="K82" s="40">
        <f>chloride!E115</f>
        <v>105.96713999999999</v>
      </c>
      <c r="L82" s="82">
        <v>29</v>
      </c>
      <c r="M82" s="89">
        <v>564</v>
      </c>
      <c r="N82" s="81"/>
      <c r="O82" s="66" t="s">
        <v>67</v>
      </c>
      <c r="P82" s="66" t="s">
        <v>67</v>
      </c>
      <c r="Q82" s="67" t="s">
        <v>67</v>
      </c>
    </row>
    <row r="83" spans="1:17" ht="15.75" thickBot="1">
      <c r="A83" s="27" t="s">
        <v>4</v>
      </c>
      <c r="B83" s="122">
        <v>41015</v>
      </c>
      <c r="C83" s="116">
        <v>1000</v>
      </c>
      <c r="D83" s="115" t="s">
        <v>42</v>
      </c>
      <c r="E83" s="147">
        <v>10</v>
      </c>
      <c r="F83" s="115"/>
      <c r="G83" s="152"/>
      <c r="H83" s="41">
        <v>7.76</v>
      </c>
      <c r="I83" s="84">
        <v>6.7</v>
      </c>
      <c r="J83" s="84">
        <f>I83-4.7</f>
        <v>2</v>
      </c>
      <c r="K83" s="41">
        <f>chloride!E116</f>
        <v>87.97272000000001</v>
      </c>
      <c r="L83" s="84">
        <v>4</v>
      </c>
      <c r="M83" s="90">
        <v>314</v>
      </c>
      <c r="N83" s="83"/>
      <c r="O83" s="68" t="s">
        <v>67</v>
      </c>
      <c r="P83" s="68" t="s">
        <v>67</v>
      </c>
      <c r="Q83" s="69" t="s">
        <v>67</v>
      </c>
    </row>
    <row r="84" spans="5:7" ht="15.75" thickBot="1">
      <c r="E84" s="159"/>
      <c r="G84" s="154"/>
    </row>
    <row r="85" spans="1:17" ht="15">
      <c r="A85" s="25" t="s">
        <v>19</v>
      </c>
      <c r="B85" s="104">
        <v>41050</v>
      </c>
      <c r="C85" s="105">
        <v>1210</v>
      </c>
      <c r="D85" s="106" t="s">
        <v>65</v>
      </c>
      <c r="E85" s="150">
        <v>18.3</v>
      </c>
      <c r="F85" s="105">
        <v>0</v>
      </c>
      <c r="G85" s="150">
        <v>11</v>
      </c>
      <c r="H85" s="39">
        <v>8.21</v>
      </c>
      <c r="I85" s="80">
        <v>8.3</v>
      </c>
      <c r="J85" s="80">
        <f>I85-6.5</f>
        <v>1.8000000000000007</v>
      </c>
      <c r="K85" s="39">
        <f>chloride!E122</f>
        <v>165.94854000000004</v>
      </c>
      <c r="L85" s="80">
        <v>3.5</v>
      </c>
      <c r="M85" s="88">
        <v>320</v>
      </c>
      <c r="N85" s="79"/>
      <c r="O85" s="64" t="s">
        <v>67</v>
      </c>
      <c r="P85" s="64" t="s">
        <v>67</v>
      </c>
      <c r="Q85" s="65" t="s">
        <v>67</v>
      </c>
    </row>
    <row r="86" spans="1:17" ht="15">
      <c r="A86" s="26" t="s">
        <v>20</v>
      </c>
      <c r="B86" s="121">
        <v>41050</v>
      </c>
      <c r="C86" s="109">
        <v>1230</v>
      </c>
      <c r="D86" s="110" t="s">
        <v>65</v>
      </c>
      <c r="E86" s="151">
        <v>18.3</v>
      </c>
      <c r="F86" s="109"/>
      <c r="G86" s="151"/>
      <c r="H86" s="40">
        <v>7.98</v>
      </c>
      <c r="I86" s="82">
        <v>7.2</v>
      </c>
      <c r="J86" s="82">
        <f>I86-4.5</f>
        <v>2.7</v>
      </c>
      <c r="K86" s="40">
        <f>chloride!E123</f>
        <v>160.95008999999993</v>
      </c>
      <c r="L86" s="82">
        <v>8.5</v>
      </c>
      <c r="M86" s="89">
        <v>290</v>
      </c>
      <c r="N86" s="81"/>
      <c r="O86" s="66" t="s">
        <v>67</v>
      </c>
      <c r="P86" s="66" t="s">
        <v>67</v>
      </c>
      <c r="Q86" s="67" t="s">
        <v>67</v>
      </c>
    </row>
    <row r="87" spans="1:17" ht="15">
      <c r="A87" s="26" t="s">
        <v>21</v>
      </c>
      <c r="B87" s="121">
        <v>41050</v>
      </c>
      <c r="C87" s="109">
        <v>1010</v>
      </c>
      <c r="D87" s="110" t="s">
        <v>87</v>
      </c>
      <c r="E87" s="146" t="s">
        <v>59</v>
      </c>
      <c r="F87" s="109"/>
      <c r="G87" s="151"/>
      <c r="H87" s="40">
        <v>8.33</v>
      </c>
      <c r="I87" s="82">
        <v>8.8</v>
      </c>
      <c r="J87" s="82">
        <f>I87-7.9</f>
        <v>0.9000000000000004</v>
      </c>
      <c r="K87" s="40">
        <f>chloride!E124</f>
        <v>165.94854000000004</v>
      </c>
      <c r="L87" s="82">
        <v>3</v>
      </c>
      <c r="M87" s="89">
        <v>134</v>
      </c>
      <c r="N87" s="81"/>
      <c r="O87" s="66" t="s">
        <v>67</v>
      </c>
      <c r="P87" s="66" t="s">
        <v>67</v>
      </c>
      <c r="Q87" s="67" t="s">
        <v>67</v>
      </c>
    </row>
    <row r="88" spans="1:17" ht="15">
      <c r="A88" s="26" t="s">
        <v>22</v>
      </c>
      <c r="B88" s="121">
        <v>41050</v>
      </c>
      <c r="C88" s="109">
        <v>950</v>
      </c>
      <c r="D88" s="110" t="s">
        <v>87</v>
      </c>
      <c r="E88" s="146" t="s">
        <v>59</v>
      </c>
      <c r="F88" s="109"/>
      <c r="G88" s="151"/>
      <c r="H88" s="40">
        <v>7.99</v>
      </c>
      <c r="I88" s="82">
        <v>6.5</v>
      </c>
      <c r="J88" s="82">
        <f>I88-3.9</f>
        <v>2.6</v>
      </c>
      <c r="K88" s="40">
        <f>chloride!E125</f>
        <v>157.95102</v>
      </c>
      <c r="L88" s="82">
        <v>19</v>
      </c>
      <c r="M88" s="89">
        <v>300</v>
      </c>
      <c r="N88" s="81"/>
      <c r="O88" s="66" t="s">
        <v>67</v>
      </c>
      <c r="P88" s="66" t="s">
        <v>67</v>
      </c>
      <c r="Q88" s="67" t="s">
        <v>67</v>
      </c>
    </row>
    <row r="89" spans="1:17" ht="15">
      <c r="A89" s="26" t="s">
        <v>1</v>
      </c>
      <c r="B89" s="121">
        <v>41050</v>
      </c>
      <c r="C89" s="109">
        <v>925</v>
      </c>
      <c r="D89" s="110" t="s">
        <v>87</v>
      </c>
      <c r="E89" s="146" t="s">
        <v>59</v>
      </c>
      <c r="F89" s="109"/>
      <c r="G89" s="151"/>
      <c r="H89" s="40">
        <v>7.71</v>
      </c>
      <c r="I89" s="82">
        <v>3.7</v>
      </c>
      <c r="J89" s="82">
        <f>I89-1.2</f>
        <v>2.5</v>
      </c>
      <c r="K89" s="40">
        <f>chloride!E126</f>
        <v>139.9566</v>
      </c>
      <c r="L89" s="82">
        <v>4.5</v>
      </c>
      <c r="M89" s="89">
        <v>440</v>
      </c>
      <c r="N89" s="81"/>
      <c r="O89" s="66" t="s">
        <v>67</v>
      </c>
      <c r="P89" s="66" t="s">
        <v>67</v>
      </c>
      <c r="Q89" s="67" t="s">
        <v>67</v>
      </c>
    </row>
    <row r="90" spans="1:17" ht="15">
      <c r="A90" s="26" t="s">
        <v>2</v>
      </c>
      <c r="B90" s="121">
        <v>41050</v>
      </c>
      <c r="C90" s="109">
        <v>1220</v>
      </c>
      <c r="D90" s="110" t="s">
        <v>43</v>
      </c>
      <c r="E90" s="146" t="s">
        <v>59</v>
      </c>
      <c r="F90" s="109"/>
      <c r="G90" s="151"/>
      <c r="H90" s="40">
        <v>8.4</v>
      </c>
      <c r="I90" s="82">
        <v>8.8</v>
      </c>
      <c r="J90" s="82">
        <f>I90-7.5</f>
        <v>1.3000000000000007</v>
      </c>
      <c r="K90" s="40">
        <f>chloride!E127</f>
        <v>170.94699</v>
      </c>
      <c r="L90" s="82">
        <v>4</v>
      </c>
      <c r="M90" s="89">
        <v>142</v>
      </c>
      <c r="N90" s="81">
        <v>360</v>
      </c>
      <c r="O90" s="66" t="s">
        <v>67</v>
      </c>
      <c r="P90" s="66" t="s">
        <v>67</v>
      </c>
      <c r="Q90" s="67" t="s">
        <v>67</v>
      </c>
    </row>
    <row r="91" spans="1:17" ht="15">
      <c r="A91" s="26" t="s">
        <v>3</v>
      </c>
      <c r="B91" s="121">
        <v>41050</v>
      </c>
      <c r="C91" s="112">
        <v>940</v>
      </c>
      <c r="D91" s="110" t="s">
        <v>87</v>
      </c>
      <c r="E91" s="146" t="s">
        <v>59</v>
      </c>
      <c r="F91" s="112"/>
      <c r="G91" s="146"/>
      <c r="H91" s="40">
        <v>7.94</v>
      </c>
      <c r="I91" s="82">
        <v>6.4</v>
      </c>
      <c r="J91" s="82">
        <f>I91-2.8</f>
        <v>3.6000000000000005</v>
      </c>
      <c r="K91" s="40">
        <f>chloride!E128</f>
        <v>105.96714</v>
      </c>
      <c r="L91" s="82">
        <v>158.5</v>
      </c>
      <c r="M91" s="89">
        <v>410</v>
      </c>
      <c r="N91" s="81"/>
      <c r="O91" s="66" t="s">
        <v>67</v>
      </c>
      <c r="P91" s="66" t="s">
        <v>67</v>
      </c>
      <c r="Q91" s="67" t="s">
        <v>67</v>
      </c>
    </row>
    <row r="92" spans="1:17" ht="15.75" thickBot="1">
      <c r="A92" s="27" t="s">
        <v>4</v>
      </c>
      <c r="B92" s="122">
        <v>41050</v>
      </c>
      <c r="C92" s="116">
        <v>915</v>
      </c>
      <c r="D92" s="115" t="s">
        <v>87</v>
      </c>
      <c r="E92" s="147" t="s">
        <v>59</v>
      </c>
      <c r="F92" s="115"/>
      <c r="G92" s="152"/>
      <c r="H92" s="41">
        <v>7.74</v>
      </c>
      <c r="I92" s="84">
        <v>3.7</v>
      </c>
      <c r="J92" s="84">
        <f>I92-1.5</f>
        <v>2.2</v>
      </c>
      <c r="K92" s="41">
        <f>chloride!E129</f>
        <v>88.97241</v>
      </c>
      <c r="L92" s="84">
        <v>2</v>
      </c>
      <c r="M92" s="90">
        <v>42</v>
      </c>
      <c r="N92" s="83"/>
      <c r="O92" s="68" t="s">
        <v>67</v>
      </c>
      <c r="P92" s="68" t="s">
        <v>67</v>
      </c>
      <c r="Q92" s="69" t="s">
        <v>67</v>
      </c>
    </row>
    <row r="93" spans="5:7" ht="15.75" thickBot="1">
      <c r="E93" s="159"/>
      <c r="G93" s="154"/>
    </row>
    <row r="94" spans="1:17" ht="15">
      <c r="A94" s="25" t="s">
        <v>19</v>
      </c>
      <c r="B94" s="104">
        <v>41078</v>
      </c>
      <c r="C94" s="105">
        <v>1300</v>
      </c>
      <c r="D94" s="106" t="s">
        <v>65</v>
      </c>
      <c r="E94" s="144">
        <v>24</v>
      </c>
      <c r="F94" s="105">
        <v>0</v>
      </c>
      <c r="G94" s="150">
        <v>5.8</v>
      </c>
      <c r="H94" s="39">
        <v>8.08</v>
      </c>
      <c r="I94" s="80">
        <v>7.2</v>
      </c>
      <c r="J94" s="80">
        <f>I94-5.9</f>
        <v>1.2999999999999998</v>
      </c>
      <c r="K94" s="39">
        <f>chloride!E135</f>
        <v>141.95597999999998</v>
      </c>
      <c r="L94" s="80">
        <v>2.5</v>
      </c>
      <c r="M94" s="88">
        <v>1550</v>
      </c>
      <c r="N94" s="79"/>
      <c r="O94" s="47">
        <v>0.11</v>
      </c>
      <c r="P94" s="48">
        <v>0.09</v>
      </c>
      <c r="Q94" s="135" t="s">
        <v>88</v>
      </c>
    </row>
    <row r="95" spans="1:17" ht="15">
      <c r="A95" s="26" t="s">
        <v>20</v>
      </c>
      <c r="B95" s="121">
        <v>41078</v>
      </c>
      <c r="C95" s="109">
        <v>1315</v>
      </c>
      <c r="D95" s="110" t="s">
        <v>65</v>
      </c>
      <c r="E95" s="151">
        <v>24</v>
      </c>
      <c r="F95" s="109"/>
      <c r="G95" s="151"/>
      <c r="H95" s="40">
        <v>7.89</v>
      </c>
      <c r="I95" s="82">
        <v>4.5</v>
      </c>
      <c r="J95" s="82">
        <f>I95-2.1</f>
        <v>2.4</v>
      </c>
      <c r="K95" s="40">
        <f>chloride!E136</f>
        <v>181.94357999999997</v>
      </c>
      <c r="L95" s="82">
        <v>2.5</v>
      </c>
      <c r="M95" s="89">
        <v>1550</v>
      </c>
      <c r="N95" s="81"/>
      <c r="O95" s="50">
        <v>0.19</v>
      </c>
      <c r="P95" s="51">
        <v>0.25</v>
      </c>
      <c r="Q95" s="137" t="s">
        <v>89</v>
      </c>
    </row>
    <row r="96" spans="1:17" ht="15">
      <c r="A96" s="26" t="s">
        <v>21</v>
      </c>
      <c r="B96" s="121">
        <v>41078</v>
      </c>
      <c r="C96" s="112" t="s">
        <v>59</v>
      </c>
      <c r="D96" s="110" t="s">
        <v>42</v>
      </c>
      <c r="E96" s="151">
        <v>19</v>
      </c>
      <c r="F96" s="109"/>
      <c r="G96" s="151"/>
      <c r="H96" s="40">
        <v>8.2</v>
      </c>
      <c r="I96" s="82">
        <v>7.5</v>
      </c>
      <c r="J96" s="82">
        <f>I96-6.5</f>
        <v>1</v>
      </c>
      <c r="K96" s="40">
        <f>chloride!E137</f>
        <v>236.92652999999999</v>
      </c>
      <c r="L96" s="82">
        <v>3</v>
      </c>
      <c r="M96" s="89">
        <v>470</v>
      </c>
      <c r="N96" s="81"/>
      <c r="O96" s="50">
        <v>0.15</v>
      </c>
      <c r="P96" s="51">
        <v>0.07</v>
      </c>
      <c r="Q96" s="137" t="s">
        <v>90</v>
      </c>
    </row>
    <row r="97" spans="1:17" ht="15">
      <c r="A97" s="26" t="s">
        <v>22</v>
      </c>
      <c r="B97" s="121">
        <v>41078</v>
      </c>
      <c r="C97" s="112" t="s">
        <v>59</v>
      </c>
      <c r="D97" s="110" t="s">
        <v>42</v>
      </c>
      <c r="E97" s="151">
        <v>18</v>
      </c>
      <c r="F97" s="109"/>
      <c r="G97" s="151"/>
      <c r="H97" s="40">
        <v>7.85</v>
      </c>
      <c r="I97" s="82">
        <v>4.6</v>
      </c>
      <c r="J97" s="82">
        <f>I97-3</f>
        <v>1.5999999999999996</v>
      </c>
      <c r="K97" s="40">
        <f>chloride!E138</f>
        <v>187.94171999999998</v>
      </c>
      <c r="L97" s="82">
        <v>34.5</v>
      </c>
      <c r="M97" s="89">
        <v>320</v>
      </c>
      <c r="N97" s="81"/>
      <c r="O97" s="50">
        <v>0.3</v>
      </c>
      <c r="P97" s="51">
        <v>0.21</v>
      </c>
      <c r="Q97" s="137" t="s">
        <v>91</v>
      </c>
    </row>
    <row r="98" spans="1:17" ht="15">
      <c r="A98" s="26" t="s">
        <v>1</v>
      </c>
      <c r="B98" s="121">
        <v>41078</v>
      </c>
      <c r="C98" s="109">
        <v>808</v>
      </c>
      <c r="D98" s="110" t="s">
        <v>42</v>
      </c>
      <c r="E98" s="151">
        <v>20</v>
      </c>
      <c r="F98" s="109"/>
      <c r="G98" s="151"/>
      <c r="H98" s="40">
        <v>7.84</v>
      </c>
      <c r="I98" s="82">
        <v>2.6</v>
      </c>
      <c r="J98" s="82">
        <f>I98-0</f>
        <v>2.6</v>
      </c>
      <c r="K98" s="40">
        <f>chloride!E139</f>
        <v>284.91164999999995</v>
      </c>
      <c r="L98" s="82">
        <v>6</v>
      </c>
      <c r="M98" s="89">
        <v>750</v>
      </c>
      <c r="N98" s="81"/>
      <c r="O98" s="50">
        <v>0.3</v>
      </c>
      <c r="P98" s="51">
        <v>0.21</v>
      </c>
      <c r="Q98" s="137" t="s">
        <v>91</v>
      </c>
    </row>
    <row r="99" spans="1:17" ht="15">
      <c r="A99" s="26" t="s">
        <v>2</v>
      </c>
      <c r="B99" s="138">
        <v>41078</v>
      </c>
      <c r="C99" s="112">
        <v>1355</v>
      </c>
      <c r="D99" s="110" t="s">
        <v>43</v>
      </c>
      <c r="E99" s="146" t="s">
        <v>59</v>
      </c>
      <c r="F99" s="112"/>
      <c r="G99" s="146"/>
      <c r="H99" s="40">
        <v>8.46</v>
      </c>
      <c r="I99" s="82">
        <v>8.8</v>
      </c>
      <c r="J99" s="100" t="s">
        <v>59</v>
      </c>
      <c r="K99" s="82">
        <f>chloride!E140</f>
        <v>298.90730999999994</v>
      </c>
      <c r="L99" s="82">
        <v>2.5</v>
      </c>
      <c r="M99" s="89">
        <v>1200</v>
      </c>
      <c r="N99" s="89">
        <v>1050</v>
      </c>
      <c r="O99" s="50">
        <v>0.1</v>
      </c>
      <c r="P99" s="51">
        <v>0.06</v>
      </c>
      <c r="Q99" s="137" t="s">
        <v>92</v>
      </c>
    </row>
    <row r="100" spans="1:17" ht="15">
      <c r="A100" s="26" t="s">
        <v>3</v>
      </c>
      <c r="B100" s="121">
        <v>41078</v>
      </c>
      <c r="C100" s="112">
        <v>1820</v>
      </c>
      <c r="D100" s="110" t="s">
        <v>42</v>
      </c>
      <c r="E100" s="146">
        <v>17</v>
      </c>
      <c r="F100" s="112"/>
      <c r="G100" s="146"/>
      <c r="H100" s="40">
        <v>7.99</v>
      </c>
      <c r="I100" s="82">
        <v>5.8</v>
      </c>
      <c r="J100" s="82">
        <f>I100-3.5</f>
        <v>2.3</v>
      </c>
      <c r="K100" s="40">
        <f>chloride!E141</f>
        <v>87.97272000000001</v>
      </c>
      <c r="L100" s="82">
        <v>11.5</v>
      </c>
      <c r="M100" s="89">
        <v>240</v>
      </c>
      <c r="N100" s="81"/>
      <c r="O100" s="50">
        <v>0.17</v>
      </c>
      <c r="P100" s="51">
        <v>0.13</v>
      </c>
      <c r="Q100" s="137" t="s">
        <v>93</v>
      </c>
    </row>
    <row r="101" spans="1:17" ht="15.75" thickBot="1">
      <c r="A101" s="27" t="s">
        <v>4</v>
      </c>
      <c r="B101" s="122">
        <v>41078</v>
      </c>
      <c r="C101" s="116">
        <v>800</v>
      </c>
      <c r="D101" s="115" t="s">
        <v>42</v>
      </c>
      <c r="E101" s="147">
        <v>18</v>
      </c>
      <c r="F101" s="115"/>
      <c r="G101" s="152"/>
      <c r="H101" s="41">
        <v>7.73</v>
      </c>
      <c r="I101" s="84">
        <v>3.1</v>
      </c>
      <c r="J101" s="84">
        <f>I101-1.6</f>
        <v>1.5</v>
      </c>
      <c r="K101" s="41">
        <f>chloride!E142</f>
        <v>80.97489</v>
      </c>
      <c r="L101" s="84">
        <v>4.5</v>
      </c>
      <c r="M101" s="90">
        <v>290</v>
      </c>
      <c r="N101" s="83"/>
      <c r="O101" s="54">
        <v>0.17</v>
      </c>
      <c r="P101" s="55">
        <v>0.23</v>
      </c>
      <c r="Q101" s="136" t="s">
        <v>94</v>
      </c>
    </row>
    <row r="102" spans="5:7" ht="15.75" thickBot="1">
      <c r="E102" s="159"/>
      <c r="G102" s="154"/>
    </row>
    <row r="103" spans="1:17" ht="15">
      <c r="A103" s="25" t="s">
        <v>19</v>
      </c>
      <c r="B103" s="104">
        <v>41106</v>
      </c>
      <c r="C103" s="107">
        <v>1150</v>
      </c>
      <c r="D103" s="106" t="s">
        <v>65</v>
      </c>
      <c r="E103" s="150">
        <v>25.6</v>
      </c>
      <c r="F103" s="105">
        <v>0</v>
      </c>
      <c r="G103" s="150">
        <v>2.8</v>
      </c>
      <c r="H103" s="39">
        <v>7.89</v>
      </c>
      <c r="I103" s="80">
        <v>6.5</v>
      </c>
      <c r="J103" s="80">
        <f>I103-3.9</f>
        <v>2.6</v>
      </c>
      <c r="K103" s="39">
        <f>chloride!E148</f>
        <v>315.90204</v>
      </c>
      <c r="L103" s="80">
        <v>5</v>
      </c>
      <c r="M103" s="88">
        <v>560</v>
      </c>
      <c r="N103" s="79"/>
      <c r="O103" s="47">
        <v>0.1</v>
      </c>
      <c r="P103" s="48">
        <v>0.12</v>
      </c>
      <c r="Q103" s="135" t="s">
        <v>103</v>
      </c>
    </row>
    <row r="104" spans="1:17" ht="15">
      <c r="A104" s="26" t="s">
        <v>20</v>
      </c>
      <c r="B104" s="138">
        <v>41106</v>
      </c>
      <c r="C104" s="109">
        <v>1206</v>
      </c>
      <c r="D104" s="110" t="s">
        <v>65</v>
      </c>
      <c r="E104" s="151">
        <v>26.1</v>
      </c>
      <c r="F104" s="109"/>
      <c r="G104" s="151"/>
      <c r="H104" s="40">
        <v>8</v>
      </c>
      <c r="I104" s="82">
        <v>5.1</v>
      </c>
      <c r="J104" s="82">
        <f>I104-4.7</f>
        <v>0.39999999999999947</v>
      </c>
      <c r="K104" s="40">
        <f>chloride!E149</f>
        <v>198.93830999999997</v>
      </c>
      <c r="L104" s="82">
        <v>4.5</v>
      </c>
      <c r="M104" s="89">
        <v>1850</v>
      </c>
      <c r="N104" s="81"/>
      <c r="O104" s="50">
        <v>0.15</v>
      </c>
      <c r="P104" s="51">
        <v>0.1</v>
      </c>
      <c r="Q104" s="137" t="s">
        <v>104</v>
      </c>
    </row>
    <row r="105" spans="1:17" ht="15">
      <c r="A105" s="26" t="s">
        <v>21</v>
      </c>
      <c r="B105" s="138">
        <v>41106</v>
      </c>
      <c r="C105" s="109">
        <v>926</v>
      </c>
      <c r="D105" s="110" t="s">
        <v>42</v>
      </c>
      <c r="E105" s="151">
        <v>21.5</v>
      </c>
      <c r="F105" s="109"/>
      <c r="G105" s="151"/>
      <c r="H105" s="40">
        <v>8.02</v>
      </c>
      <c r="I105" s="82">
        <v>7.1</v>
      </c>
      <c r="J105" s="82">
        <f>I105-5.4</f>
        <v>1.6999999999999993</v>
      </c>
      <c r="K105" s="40">
        <f>chloride!E150</f>
        <v>471.85368</v>
      </c>
      <c r="L105" s="82">
        <v>3.5</v>
      </c>
      <c r="M105" s="89">
        <v>510</v>
      </c>
      <c r="N105" s="81"/>
      <c r="O105" s="155">
        <v>0.08</v>
      </c>
      <c r="P105" s="51">
        <v>0.05</v>
      </c>
      <c r="Q105" s="137" t="s">
        <v>106</v>
      </c>
    </row>
    <row r="106" spans="1:17" ht="15">
      <c r="A106" s="26" t="s">
        <v>22</v>
      </c>
      <c r="B106" s="138">
        <v>41106</v>
      </c>
      <c r="C106" s="109">
        <v>915</v>
      </c>
      <c r="D106" s="110" t="s">
        <v>42</v>
      </c>
      <c r="E106" s="151">
        <v>21</v>
      </c>
      <c r="F106" s="109"/>
      <c r="G106" s="151"/>
      <c r="H106" s="40">
        <v>7.68</v>
      </c>
      <c r="I106" s="82">
        <v>3.1</v>
      </c>
      <c r="J106" s="82">
        <f>I106-0.9</f>
        <v>2.2</v>
      </c>
      <c r="K106" s="40">
        <f>chloride!E151</f>
        <v>544.83105</v>
      </c>
      <c r="L106" s="82">
        <v>6.5</v>
      </c>
      <c r="M106" s="89">
        <v>650</v>
      </c>
      <c r="N106" s="81"/>
      <c r="O106" s="50">
        <v>0.34</v>
      </c>
      <c r="P106" s="51">
        <v>0.07</v>
      </c>
      <c r="Q106" s="137" t="s">
        <v>105</v>
      </c>
    </row>
    <row r="107" spans="1:17" ht="15">
      <c r="A107" s="26" t="s">
        <v>1</v>
      </c>
      <c r="B107" s="138">
        <v>41106</v>
      </c>
      <c r="C107" s="109">
        <v>852</v>
      </c>
      <c r="D107" s="110" t="s">
        <v>42</v>
      </c>
      <c r="E107" s="151">
        <v>21.5</v>
      </c>
      <c r="F107" s="109"/>
      <c r="G107" s="151"/>
      <c r="H107" s="40">
        <v>7.79</v>
      </c>
      <c r="I107" s="82">
        <v>1.6</v>
      </c>
      <c r="J107" s="82">
        <f>I107-0</f>
        <v>1.6</v>
      </c>
      <c r="K107" s="40">
        <f>chloride!E152</f>
        <v>210.93459</v>
      </c>
      <c r="L107" s="82">
        <v>10.5</v>
      </c>
      <c r="M107" s="89">
        <v>84</v>
      </c>
      <c r="N107" s="81"/>
      <c r="O107" s="50">
        <v>0.22</v>
      </c>
      <c r="P107" s="51">
        <v>0.37</v>
      </c>
      <c r="Q107" s="137" t="s">
        <v>107</v>
      </c>
    </row>
    <row r="108" spans="1:17" ht="15">
      <c r="A108" s="26" t="s">
        <v>2</v>
      </c>
      <c r="B108" s="138">
        <v>41106</v>
      </c>
      <c r="C108" s="112">
        <v>935</v>
      </c>
      <c r="D108" s="110" t="s">
        <v>42</v>
      </c>
      <c r="E108" s="146">
        <v>20</v>
      </c>
      <c r="F108" s="112"/>
      <c r="G108" s="146"/>
      <c r="H108" s="40">
        <v>8.13</v>
      </c>
      <c r="I108" s="82">
        <v>7.3</v>
      </c>
      <c r="J108" s="82">
        <f>I108-5.3</f>
        <v>2</v>
      </c>
      <c r="K108" s="82">
        <f>chloride!E153</f>
        <v>300.90669</v>
      </c>
      <c r="L108" s="82">
        <v>4</v>
      </c>
      <c r="M108" s="89">
        <v>1240</v>
      </c>
      <c r="N108" s="89">
        <v>680</v>
      </c>
      <c r="O108" s="50">
        <v>0.08</v>
      </c>
      <c r="P108" s="51">
        <v>0.08</v>
      </c>
      <c r="Q108" s="137" t="s">
        <v>108</v>
      </c>
    </row>
    <row r="109" spans="1:17" ht="15">
      <c r="A109" s="26" t="s">
        <v>3</v>
      </c>
      <c r="B109" s="138">
        <v>41106</v>
      </c>
      <c r="C109" s="112">
        <v>902</v>
      </c>
      <c r="D109" s="110" t="s">
        <v>42</v>
      </c>
      <c r="E109" s="146">
        <v>20</v>
      </c>
      <c r="F109" s="112"/>
      <c r="G109" s="146"/>
      <c r="H109" s="40">
        <v>7.94</v>
      </c>
      <c r="I109" s="82">
        <v>2.7</v>
      </c>
      <c r="J109" s="82">
        <f>I109-1.2</f>
        <v>1.5000000000000002</v>
      </c>
      <c r="K109" s="40">
        <f>chloride!E154</f>
        <v>79.9752</v>
      </c>
      <c r="L109" s="82">
        <v>6</v>
      </c>
      <c r="M109" s="89">
        <v>75</v>
      </c>
      <c r="N109" s="81"/>
      <c r="O109" s="50">
        <v>0.32</v>
      </c>
      <c r="P109" s="51">
        <v>0.13</v>
      </c>
      <c r="Q109" s="137" t="s">
        <v>109</v>
      </c>
    </row>
    <row r="110" spans="1:17" ht="15.75" thickBot="1">
      <c r="A110" s="27" t="s">
        <v>4</v>
      </c>
      <c r="B110" s="122">
        <v>41106</v>
      </c>
      <c r="C110" s="116">
        <v>845</v>
      </c>
      <c r="D110" s="115" t="s">
        <v>42</v>
      </c>
      <c r="E110" s="147">
        <v>21</v>
      </c>
      <c r="F110" s="115"/>
      <c r="G110" s="152"/>
      <c r="H110" s="41">
        <v>7.98</v>
      </c>
      <c r="I110" s="84">
        <v>0.5</v>
      </c>
      <c r="J110" s="84">
        <f>I110-0</f>
        <v>0.5</v>
      </c>
      <c r="K110" s="41">
        <f>chloride!E155</f>
        <v>134.95815</v>
      </c>
      <c r="L110" s="84">
        <v>6</v>
      </c>
      <c r="M110" s="90">
        <v>43</v>
      </c>
      <c r="N110" s="83"/>
      <c r="O110" s="54">
        <v>0.9</v>
      </c>
      <c r="P110" s="55">
        <v>0.19</v>
      </c>
      <c r="Q110" s="136" t="s">
        <v>110</v>
      </c>
    </row>
    <row r="111" spans="5:7" ht="15.75" thickBot="1">
      <c r="E111" s="159"/>
      <c r="G111" s="154"/>
    </row>
    <row r="112" spans="1:17" ht="15">
      <c r="A112" s="25" t="s">
        <v>19</v>
      </c>
      <c r="B112" s="104">
        <v>41141</v>
      </c>
      <c r="C112" s="105">
        <v>1115</v>
      </c>
      <c r="D112" s="106" t="s">
        <v>95</v>
      </c>
      <c r="E112" s="150">
        <v>17</v>
      </c>
      <c r="F112" s="105">
        <v>0.45</v>
      </c>
      <c r="G112" s="150">
        <v>4.6</v>
      </c>
      <c r="H112" s="39">
        <v>7.94</v>
      </c>
      <c r="I112" s="80">
        <v>7.4</v>
      </c>
      <c r="J112" s="80">
        <f>I112-5.8</f>
        <v>1.6000000000000005</v>
      </c>
      <c r="K112" s="39">
        <f>chloride!E161</f>
        <v>309.9039</v>
      </c>
      <c r="L112" s="80">
        <v>4</v>
      </c>
      <c r="M112" s="88">
        <v>200</v>
      </c>
      <c r="N112" s="88"/>
      <c r="O112" s="64" t="s">
        <v>67</v>
      </c>
      <c r="P112" s="64" t="s">
        <v>67</v>
      </c>
      <c r="Q112" s="65" t="s">
        <v>67</v>
      </c>
    </row>
    <row r="113" spans="1:17" ht="15">
      <c r="A113" s="26" t="s">
        <v>20</v>
      </c>
      <c r="B113" s="121">
        <v>41141</v>
      </c>
      <c r="C113" s="109">
        <v>1130</v>
      </c>
      <c r="D113" s="110" t="s">
        <v>95</v>
      </c>
      <c r="E113" s="151">
        <v>19</v>
      </c>
      <c r="F113" s="109"/>
      <c r="G113" s="151"/>
      <c r="H113" s="40">
        <v>8.01</v>
      </c>
      <c r="I113" s="82">
        <v>5.5</v>
      </c>
      <c r="J113" s="82">
        <f>I113-4.1</f>
        <v>1.4000000000000004</v>
      </c>
      <c r="K113" s="40">
        <f>chloride!E162</f>
        <v>206.93582999999998</v>
      </c>
      <c r="L113" s="82">
        <v>2</v>
      </c>
      <c r="M113" s="89">
        <v>80</v>
      </c>
      <c r="N113" s="89"/>
      <c r="O113" s="66" t="s">
        <v>67</v>
      </c>
      <c r="P113" s="66" t="s">
        <v>67</v>
      </c>
      <c r="Q113" s="67" t="s">
        <v>67</v>
      </c>
    </row>
    <row r="114" spans="1:17" ht="15">
      <c r="A114" s="26" t="s">
        <v>21</v>
      </c>
      <c r="B114" s="121">
        <v>41141</v>
      </c>
      <c r="C114" s="109">
        <v>1340</v>
      </c>
      <c r="D114" s="110" t="s">
        <v>84</v>
      </c>
      <c r="E114" s="151">
        <v>17</v>
      </c>
      <c r="F114" s="109"/>
      <c r="G114" s="151"/>
      <c r="H114" s="40">
        <v>8.45</v>
      </c>
      <c r="I114" s="82">
        <v>12.9</v>
      </c>
      <c r="J114" s="82">
        <f>I114-10.4</f>
        <v>2.5</v>
      </c>
      <c r="K114" s="40">
        <f>chloride!E163</f>
        <v>346.89243000000005</v>
      </c>
      <c r="L114" s="82">
        <v>0</v>
      </c>
      <c r="M114" s="89">
        <v>210</v>
      </c>
      <c r="N114" s="89"/>
      <c r="O114" s="66" t="s">
        <v>67</v>
      </c>
      <c r="P114" s="66" t="s">
        <v>67</v>
      </c>
      <c r="Q114" s="67" t="s">
        <v>67</v>
      </c>
    </row>
    <row r="115" spans="1:17" ht="15">
      <c r="A115" s="26" t="s">
        <v>22</v>
      </c>
      <c r="B115" s="121">
        <v>41141</v>
      </c>
      <c r="C115" s="109">
        <v>1320</v>
      </c>
      <c r="D115" s="110" t="s">
        <v>84</v>
      </c>
      <c r="E115" s="151">
        <v>17</v>
      </c>
      <c r="F115" s="109"/>
      <c r="G115" s="151"/>
      <c r="H115" s="40">
        <v>7.82</v>
      </c>
      <c r="I115" s="82">
        <v>8</v>
      </c>
      <c r="J115" s="82">
        <f>I115-6.6</f>
        <v>1.4000000000000004</v>
      </c>
      <c r="K115" s="40">
        <f>chloride!E164</f>
        <v>550.82919</v>
      </c>
      <c r="L115" s="82">
        <v>31.5</v>
      </c>
      <c r="M115" s="89">
        <v>1000</v>
      </c>
      <c r="N115" s="89"/>
      <c r="O115" s="66" t="s">
        <v>67</v>
      </c>
      <c r="P115" s="66" t="s">
        <v>67</v>
      </c>
      <c r="Q115" s="67" t="s">
        <v>67</v>
      </c>
    </row>
    <row r="116" spans="1:17" ht="15">
      <c r="A116" s="26" t="s">
        <v>1</v>
      </c>
      <c r="B116" s="121">
        <v>41141</v>
      </c>
      <c r="C116" s="109">
        <v>1230</v>
      </c>
      <c r="D116" s="110" t="s">
        <v>84</v>
      </c>
      <c r="E116" s="151">
        <v>17</v>
      </c>
      <c r="F116" s="109"/>
      <c r="G116" s="151"/>
      <c r="H116" s="40">
        <v>7.97</v>
      </c>
      <c r="I116" s="82">
        <v>7.4</v>
      </c>
      <c r="J116" s="82">
        <f>I116-4.9</f>
        <v>2.5</v>
      </c>
      <c r="K116" s="40">
        <f>chloride!E165</f>
        <v>254.92094999999998</v>
      </c>
      <c r="L116" s="82">
        <v>5.5</v>
      </c>
      <c r="M116" s="89">
        <v>29</v>
      </c>
      <c r="N116" s="89"/>
      <c r="O116" s="66" t="s">
        <v>67</v>
      </c>
      <c r="P116" s="66" t="s">
        <v>67</v>
      </c>
      <c r="Q116" s="67" t="s">
        <v>67</v>
      </c>
    </row>
    <row r="117" spans="1:17" ht="15">
      <c r="A117" s="26" t="s">
        <v>2</v>
      </c>
      <c r="B117" s="121">
        <v>41141</v>
      </c>
      <c r="C117" s="112">
        <v>1400</v>
      </c>
      <c r="D117" s="110" t="s">
        <v>84</v>
      </c>
      <c r="E117" s="146">
        <v>17</v>
      </c>
      <c r="F117" s="112"/>
      <c r="G117" s="146"/>
      <c r="H117" s="40">
        <v>8.4</v>
      </c>
      <c r="I117" s="82">
        <v>10.5</v>
      </c>
      <c r="J117" s="82">
        <f>I117-9.7</f>
        <v>0.8000000000000007</v>
      </c>
      <c r="K117" s="82">
        <f>chloride!E166</f>
        <v>287.91072</v>
      </c>
      <c r="L117" s="82">
        <v>1.5</v>
      </c>
      <c r="M117" s="89">
        <v>1850</v>
      </c>
      <c r="N117" s="89">
        <v>3600</v>
      </c>
      <c r="O117" s="66" t="s">
        <v>67</v>
      </c>
      <c r="P117" s="66" t="s">
        <v>67</v>
      </c>
      <c r="Q117" s="67" t="s">
        <v>67</v>
      </c>
    </row>
    <row r="118" spans="1:17" ht="15">
      <c r="A118" s="26" t="s">
        <v>3</v>
      </c>
      <c r="B118" s="121">
        <v>41141</v>
      </c>
      <c r="C118" s="112">
        <v>1255</v>
      </c>
      <c r="D118" s="110" t="s">
        <v>84</v>
      </c>
      <c r="E118" s="146">
        <v>16</v>
      </c>
      <c r="F118" s="112"/>
      <c r="G118" s="146"/>
      <c r="H118" s="40">
        <v>7.89</v>
      </c>
      <c r="I118" s="82">
        <v>3.8</v>
      </c>
      <c r="J118" s="82">
        <f>I118-2</f>
        <v>1.7999999999999998</v>
      </c>
      <c r="K118" s="40">
        <f>chloride!E167</f>
        <v>117.96342</v>
      </c>
      <c r="L118" s="82">
        <v>9.5</v>
      </c>
      <c r="M118" s="89">
        <v>920</v>
      </c>
      <c r="N118" s="89"/>
      <c r="O118" s="66" t="s">
        <v>67</v>
      </c>
      <c r="P118" s="66" t="s">
        <v>67</v>
      </c>
      <c r="Q118" s="67" t="s">
        <v>67</v>
      </c>
    </row>
    <row r="119" spans="1:17" ht="15.75" thickBot="1">
      <c r="A119" s="27" t="s">
        <v>4</v>
      </c>
      <c r="B119" s="122">
        <v>41141</v>
      </c>
      <c r="C119" s="116">
        <v>1220</v>
      </c>
      <c r="D119" s="115" t="s">
        <v>84</v>
      </c>
      <c r="E119" s="147">
        <v>15</v>
      </c>
      <c r="F119" s="115"/>
      <c r="G119" s="152"/>
      <c r="H119" s="41">
        <v>7.49</v>
      </c>
      <c r="I119" s="84">
        <v>1.5</v>
      </c>
      <c r="J119" s="84">
        <f>I119-0</f>
        <v>1.5</v>
      </c>
      <c r="K119" s="41">
        <f>chloride!E168</f>
        <v>163.94915999999998</v>
      </c>
      <c r="L119" s="84">
        <v>778</v>
      </c>
      <c r="M119" s="90">
        <v>550</v>
      </c>
      <c r="N119" s="90"/>
      <c r="O119" s="68" t="s">
        <v>67</v>
      </c>
      <c r="P119" s="68" t="s">
        <v>67</v>
      </c>
      <c r="Q119" s="69" t="s">
        <v>67</v>
      </c>
    </row>
    <row r="120" spans="5:14" ht="15.75" thickBot="1">
      <c r="E120" s="159"/>
      <c r="G120" s="154"/>
      <c r="M120" s="99"/>
      <c r="N120" s="99"/>
    </row>
    <row r="121" spans="1:17" ht="15">
      <c r="A121" s="25" t="s">
        <v>19</v>
      </c>
      <c r="B121" s="104">
        <v>41169</v>
      </c>
      <c r="C121" s="105">
        <v>1141</v>
      </c>
      <c r="D121" s="106" t="s">
        <v>65</v>
      </c>
      <c r="E121" s="144">
        <v>17.2</v>
      </c>
      <c r="F121" s="105">
        <v>0.33</v>
      </c>
      <c r="G121" s="150">
        <v>5</v>
      </c>
      <c r="H121" s="39">
        <v>7.98</v>
      </c>
      <c r="I121" s="80">
        <v>7.9</v>
      </c>
      <c r="J121" s="80">
        <f>I121-6.4</f>
        <v>1.5</v>
      </c>
      <c r="K121" s="39">
        <f>chloride!E174</f>
        <v>313.90265999999997</v>
      </c>
      <c r="L121" s="80">
        <v>10</v>
      </c>
      <c r="M121" s="88">
        <v>760</v>
      </c>
      <c r="N121" s="88"/>
      <c r="O121" s="64" t="s">
        <v>67</v>
      </c>
      <c r="P121" s="64" t="s">
        <v>67</v>
      </c>
      <c r="Q121" s="65" t="s">
        <v>67</v>
      </c>
    </row>
    <row r="122" spans="1:17" ht="15">
      <c r="A122" s="26" t="s">
        <v>20</v>
      </c>
      <c r="B122" s="121">
        <v>41169</v>
      </c>
      <c r="C122" s="109">
        <v>1205</v>
      </c>
      <c r="D122" s="110" t="s">
        <v>65</v>
      </c>
      <c r="E122" s="146">
        <v>18.3</v>
      </c>
      <c r="F122" s="109"/>
      <c r="G122" s="151"/>
      <c r="H122" s="40">
        <v>8.08</v>
      </c>
      <c r="I122" s="82">
        <v>7.3</v>
      </c>
      <c r="J122" s="82">
        <f>I122-6.2</f>
        <v>1.0999999999999996</v>
      </c>
      <c r="K122" s="40">
        <f>chloride!E175</f>
        <v>200.93768999999998</v>
      </c>
      <c r="L122" s="82">
        <v>4.5</v>
      </c>
      <c r="M122" s="89">
        <v>220</v>
      </c>
      <c r="N122" s="89"/>
      <c r="O122" s="66" t="s">
        <v>67</v>
      </c>
      <c r="P122" s="66" t="s">
        <v>67</v>
      </c>
      <c r="Q122" s="67" t="s">
        <v>67</v>
      </c>
    </row>
    <row r="123" spans="1:17" ht="15">
      <c r="A123" s="26" t="s">
        <v>21</v>
      </c>
      <c r="B123" s="121">
        <v>41169</v>
      </c>
      <c r="C123" s="109">
        <v>945</v>
      </c>
      <c r="D123" s="110" t="s">
        <v>96</v>
      </c>
      <c r="E123" s="151">
        <v>13.5</v>
      </c>
      <c r="F123" s="109"/>
      <c r="G123" s="151"/>
      <c r="H123" s="40">
        <v>8.04</v>
      </c>
      <c r="I123" s="82">
        <v>8.4</v>
      </c>
      <c r="J123" s="82">
        <f>I123-7.5</f>
        <v>0.9000000000000004</v>
      </c>
      <c r="K123" s="40">
        <f>chloride!E176</f>
        <v>403.8747599999999</v>
      </c>
      <c r="L123" s="82">
        <v>0.5</v>
      </c>
      <c r="M123" s="89">
        <v>200</v>
      </c>
      <c r="N123" s="89"/>
      <c r="O123" s="66" t="s">
        <v>67</v>
      </c>
      <c r="P123" s="66" t="s">
        <v>67</v>
      </c>
      <c r="Q123" s="67" t="s">
        <v>67</v>
      </c>
    </row>
    <row r="124" spans="1:17" ht="15">
      <c r="A124" s="26" t="s">
        <v>22</v>
      </c>
      <c r="B124" s="121">
        <v>41169</v>
      </c>
      <c r="C124" s="109">
        <v>930</v>
      </c>
      <c r="D124" s="110" t="s">
        <v>96</v>
      </c>
      <c r="E124" s="151">
        <v>14.5</v>
      </c>
      <c r="F124" s="109"/>
      <c r="G124" s="151"/>
      <c r="H124" s="40">
        <v>7.68</v>
      </c>
      <c r="I124" s="82">
        <v>4.7</v>
      </c>
      <c r="J124" s="82">
        <f>I124-3.8</f>
        <v>0.9000000000000004</v>
      </c>
      <c r="K124" s="40">
        <f>chloride!E177</f>
        <v>493.84686</v>
      </c>
      <c r="L124" s="82">
        <v>8</v>
      </c>
      <c r="M124" s="89">
        <v>950</v>
      </c>
      <c r="N124" s="89"/>
      <c r="O124" s="66" t="s">
        <v>67</v>
      </c>
      <c r="P124" s="66" t="s">
        <v>67</v>
      </c>
      <c r="Q124" s="67" t="s">
        <v>67</v>
      </c>
    </row>
    <row r="125" spans="1:18" ht="15">
      <c r="A125" s="32" t="s">
        <v>98</v>
      </c>
      <c r="B125" s="121">
        <v>41169</v>
      </c>
      <c r="C125" s="109">
        <v>910</v>
      </c>
      <c r="D125" s="110" t="s">
        <v>96</v>
      </c>
      <c r="E125" s="151">
        <v>12</v>
      </c>
      <c r="F125" s="109"/>
      <c r="G125" s="151"/>
      <c r="H125" s="40">
        <v>8.07</v>
      </c>
      <c r="I125" s="100" t="s">
        <v>59</v>
      </c>
      <c r="J125" s="100" t="s">
        <v>59</v>
      </c>
      <c r="K125" s="40">
        <f>chloride!E178</f>
        <v>177.94482</v>
      </c>
      <c r="L125" s="82">
        <v>45.5</v>
      </c>
      <c r="M125" s="89">
        <v>35</v>
      </c>
      <c r="N125" s="89"/>
      <c r="O125" s="66" t="s">
        <v>67</v>
      </c>
      <c r="P125" s="66" t="s">
        <v>67</v>
      </c>
      <c r="Q125" s="67" t="s">
        <v>67</v>
      </c>
      <c r="R125" t="s">
        <v>113</v>
      </c>
    </row>
    <row r="126" spans="1:17" ht="15">
      <c r="A126" s="26" t="s">
        <v>2</v>
      </c>
      <c r="B126" s="121">
        <v>41169</v>
      </c>
      <c r="C126" s="112">
        <v>955</v>
      </c>
      <c r="D126" s="110" t="s">
        <v>96</v>
      </c>
      <c r="E126" s="146">
        <v>13</v>
      </c>
      <c r="F126" s="112"/>
      <c r="G126" s="146"/>
      <c r="H126" s="40">
        <v>8.28</v>
      </c>
      <c r="I126" s="82">
        <v>9.3</v>
      </c>
      <c r="J126" s="82">
        <f>I126-7.7</f>
        <v>1.6000000000000005</v>
      </c>
      <c r="K126" s="82">
        <f>chloride!E179</f>
        <v>292.90917</v>
      </c>
      <c r="L126" s="82">
        <v>1.5</v>
      </c>
      <c r="M126" s="89">
        <v>280</v>
      </c>
      <c r="N126" s="89">
        <v>10000</v>
      </c>
      <c r="O126" s="66" t="s">
        <v>67</v>
      </c>
      <c r="P126" s="66" t="s">
        <v>67</v>
      </c>
      <c r="Q126" s="67" t="s">
        <v>67</v>
      </c>
    </row>
    <row r="127" spans="1:17" ht="15">
      <c r="A127" s="32" t="s">
        <v>97</v>
      </c>
      <c r="B127" s="121">
        <v>41169</v>
      </c>
      <c r="C127" s="112">
        <v>920</v>
      </c>
      <c r="D127" s="110" t="s">
        <v>96</v>
      </c>
      <c r="E127" s="146">
        <v>13</v>
      </c>
      <c r="F127" s="112"/>
      <c r="G127" s="146"/>
      <c r="H127" s="40">
        <v>7.92</v>
      </c>
      <c r="I127" s="100" t="s">
        <v>59</v>
      </c>
      <c r="J127" s="100" t="s">
        <v>59</v>
      </c>
      <c r="K127" s="40">
        <f>chloride!E180</f>
        <v>650.79819</v>
      </c>
      <c r="L127" s="82">
        <v>275</v>
      </c>
      <c r="M127" s="89">
        <v>80</v>
      </c>
      <c r="N127" s="89"/>
      <c r="O127" s="66" t="s">
        <v>67</v>
      </c>
      <c r="P127" s="66" t="s">
        <v>67</v>
      </c>
      <c r="Q127" s="67" t="s">
        <v>67</v>
      </c>
    </row>
    <row r="128" spans="1:17" ht="15.75" thickBot="1">
      <c r="A128" s="141" t="s">
        <v>99</v>
      </c>
      <c r="B128" s="122">
        <v>41169</v>
      </c>
      <c r="C128" s="116">
        <v>905</v>
      </c>
      <c r="D128" s="115" t="s">
        <v>96</v>
      </c>
      <c r="E128" s="147">
        <v>11</v>
      </c>
      <c r="F128" s="115"/>
      <c r="G128" s="152"/>
      <c r="H128" s="41">
        <v>7.48</v>
      </c>
      <c r="I128" s="84">
        <v>0.1</v>
      </c>
      <c r="J128" s="84">
        <f>I128-0</f>
        <v>0.1</v>
      </c>
      <c r="K128" s="41">
        <f>chloride!E181</f>
        <v>180.94388999999998</v>
      </c>
      <c r="L128" s="84">
        <v>98.2</v>
      </c>
      <c r="M128" s="90">
        <v>300</v>
      </c>
      <c r="N128" s="90"/>
      <c r="O128" s="68" t="s">
        <v>67</v>
      </c>
      <c r="P128" s="68" t="s">
        <v>67</v>
      </c>
      <c r="Q128" s="69" t="s">
        <v>67</v>
      </c>
    </row>
    <row r="129" spans="5:14" ht="15.75" thickBot="1">
      <c r="E129" s="159"/>
      <c r="G129" s="154"/>
      <c r="M129" s="99"/>
      <c r="N129" s="99"/>
    </row>
    <row r="130" spans="1:17" ht="15">
      <c r="A130" s="25" t="s">
        <v>19</v>
      </c>
      <c r="B130" s="104">
        <v>41197</v>
      </c>
      <c r="C130" s="105">
        <v>930</v>
      </c>
      <c r="D130" s="106" t="s">
        <v>64</v>
      </c>
      <c r="E130" s="150">
        <v>10</v>
      </c>
      <c r="F130" s="105">
        <v>0</v>
      </c>
      <c r="G130" s="150">
        <v>9.7</v>
      </c>
      <c r="H130" s="39">
        <v>7.85</v>
      </c>
      <c r="I130" s="80">
        <v>7.2</v>
      </c>
      <c r="J130" s="80">
        <f>I130-4.6</f>
        <v>2.6000000000000005</v>
      </c>
      <c r="K130" s="39">
        <f>chloride!E187</f>
        <v>282.91227</v>
      </c>
      <c r="L130" s="80">
        <v>3</v>
      </c>
      <c r="M130" s="88">
        <v>800</v>
      </c>
      <c r="N130" s="88"/>
      <c r="O130" s="64" t="s">
        <v>67</v>
      </c>
      <c r="P130" s="64" t="s">
        <v>67</v>
      </c>
      <c r="Q130" s="65" t="s">
        <v>67</v>
      </c>
    </row>
    <row r="131" spans="1:17" ht="15">
      <c r="A131" s="26" t="s">
        <v>20</v>
      </c>
      <c r="B131" s="121">
        <v>41197</v>
      </c>
      <c r="C131" s="109">
        <v>938</v>
      </c>
      <c r="D131" s="110" t="s">
        <v>64</v>
      </c>
      <c r="E131" s="151">
        <v>10</v>
      </c>
      <c r="F131" s="109"/>
      <c r="G131" s="151"/>
      <c r="H131" s="40">
        <v>7.74</v>
      </c>
      <c r="I131" s="82">
        <v>5.8</v>
      </c>
      <c r="J131" s="82">
        <f>I131-1.6</f>
        <v>4.199999999999999</v>
      </c>
      <c r="K131" s="40">
        <f>chloride!E188</f>
        <v>134.95815</v>
      </c>
      <c r="L131" s="82">
        <v>0.5</v>
      </c>
      <c r="M131" s="89">
        <v>460</v>
      </c>
      <c r="N131" s="89"/>
      <c r="O131" s="66" t="s">
        <v>67</v>
      </c>
      <c r="P131" s="66" t="s">
        <v>67</v>
      </c>
      <c r="Q131" s="67" t="s">
        <v>67</v>
      </c>
    </row>
    <row r="132" spans="1:17" ht="15">
      <c r="A132" s="26" t="s">
        <v>21</v>
      </c>
      <c r="B132" s="121">
        <v>41197</v>
      </c>
      <c r="C132" s="109">
        <v>853</v>
      </c>
      <c r="D132" s="110" t="s">
        <v>96</v>
      </c>
      <c r="E132" s="151">
        <v>11.6</v>
      </c>
      <c r="F132" s="109"/>
      <c r="G132" s="151"/>
      <c r="H132" s="40">
        <v>7.89</v>
      </c>
      <c r="I132" s="82">
        <v>7.7</v>
      </c>
      <c r="J132" s="82">
        <f>I132-3.7</f>
        <v>4</v>
      </c>
      <c r="K132" s="40">
        <f>chloride!E189</f>
        <v>423.86855999999995</v>
      </c>
      <c r="L132" s="82">
        <v>5.5</v>
      </c>
      <c r="M132" s="89">
        <v>1150</v>
      </c>
      <c r="N132" s="89"/>
      <c r="O132" s="66" t="s">
        <v>67</v>
      </c>
      <c r="P132" s="66" t="s">
        <v>67</v>
      </c>
      <c r="Q132" s="67" t="s">
        <v>67</v>
      </c>
    </row>
    <row r="133" spans="1:17" ht="15">
      <c r="A133" s="26" t="s">
        <v>22</v>
      </c>
      <c r="B133" s="121">
        <v>41197</v>
      </c>
      <c r="C133" s="109">
        <v>840</v>
      </c>
      <c r="D133" s="110" t="s">
        <v>96</v>
      </c>
      <c r="E133" s="151">
        <v>12.5</v>
      </c>
      <c r="F133" s="109"/>
      <c r="G133" s="151"/>
      <c r="H133" s="40">
        <v>7.72</v>
      </c>
      <c r="I133" s="82">
        <v>6.4</v>
      </c>
      <c r="J133" s="82">
        <f>I133-0</f>
        <v>6.4</v>
      </c>
      <c r="K133" s="40">
        <f>chloride!E190</f>
        <v>411.87228000000005</v>
      </c>
      <c r="L133" s="82">
        <v>6</v>
      </c>
      <c r="M133" s="89">
        <v>367</v>
      </c>
      <c r="N133" s="89"/>
      <c r="O133" s="66" t="s">
        <v>67</v>
      </c>
      <c r="P133" s="66" t="s">
        <v>67</v>
      </c>
      <c r="Q133" s="67" t="s">
        <v>67</v>
      </c>
    </row>
    <row r="134" spans="1:17" ht="15">
      <c r="A134" s="26" t="s">
        <v>1</v>
      </c>
      <c r="B134" s="121">
        <v>41197</v>
      </c>
      <c r="C134" s="109">
        <v>822</v>
      </c>
      <c r="D134" s="110" t="s">
        <v>96</v>
      </c>
      <c r="E134" s="151">
        <v>7.6</v>
      </c>
      <c r="F134" s="109"/>
      <c r="G134" s="151"/>
      <c r="H134" s="40">
        <v>7.76</v>
      </c>
      <c r="I134" s="82">
        <v>5.2</v>
      </c>
      <c r="J134" s="82">
        <f>I134-0</f>
        <v>5.2</v>
      </c>
      <c r="K134" s="40">
        <f>chloride!E191</f>
        <v>101.96837999999998</v>
      </c>
      <c r="L134" s="82">
        <v>11.5</v>
      </c>
      <c r="M134" s="142" t="s">
        <v>100</v>
      </c>
      <c r="N134" s="89"/>
      <c r="O134" s="66" t="s">
        <v>67</v>
      </c>
      <c r="P134" s="66" t="s">
        <v>67</v>
      </c>
      <c r="Q134" s="67" t="s">
        <v>67</v>
      </c>
    </row>
    <row r="135" spans="1:17" ht="15">
      <c r="A135" s="26" t="s">
        <v>2</v>
      </c>
      <c r="B135" s="121">
        <v>41197</v>
      </c>
      <c r="C135" s="112">
        <v>905</v>
      </c>
      <c r="D135" s="110" t="s">
        <v>96</v>
      </c>
      <c r="E135" s="146">
        <v>10.9</v>
      </c>
      <c r="F135" s="112"/>
      <c r="G135" s="146"/>
      <c r="H135" s="40">
        <v>8.06</v>
      </c>
      <c r="I135" s="82">
        <v>9.2</v>
      </c>
      <c r="J135" s="82">
        <f>I135-5.7</f>
        <v>3.499999999999999</v>
      </c>
      <c r="K135" s="82">
        <f>chloride!E192</f>
        <v>214.93335</v>
      </c>
      <c r="L135" s="82">
        <v>10</v>
      </c>
      <c r="M135" s="89">
        <v>1450</v>
      </c>
      <c r="N135" s="89">
        <v>300</v>
      </c>
      <c r="O135" s="66" t="s">
        <v>67</v>
      </c>
      <c r="P135" s="66" t="s">
        <v>67</v>
      </c>
      <c r="Q135" s="67" t="s">
        <v>67</v>
      </c>
    </row>
    <row r="136" spans="1:17" ht="15">
      <c r="A136" s="26" t="s">
        <v>3</v>
      </c>
      <c r="B136" s="121">
        <v>41197</v>
      </c>
      <c r="C136" s="112">
        <v>830</v>
      </c>
      <c r="D136" s="110" t="s">
        <v>96</v>
      </c>
      <c r="E136" s="146">
        <v>8.5</v>
      </c>
      <c r="F136" s="112"/>
      <c r="G136" s="146"/>
      <c r="H136" s="40">
        <v>7.2</v>
      </c>
      <c r="I136" s="82">
        <v>0</v>
      </c>
      <c r="J136" s="82">
        <f>I136-0</f>
        <v>0</v>
      </c>
      <c r="K136" s="40">
        <f>chloride!E193</f>
        <v>135.95784</v>
      </c>
      <c r="L136" s="82">
        <v>55</v>
      </c>
      <c r="M136" s="89">
        <v>4250</v>
      </c>
      <c r="N136" s="89"/>
      <c r="O136" s="66" t="s">
        <v>67</v>
      </c>
      <c r="P136" s="66" t="s">
        <v>67</v>
      </c>
      <c r="Q136" s="67" t="s">
        <v>67</v>
      </c>
    </row>
    <row r="137" spans="1:18" ht="15.75" thickBot="1">
      <c r="A137" s="27" t="s">
        <v>4</v>
      </c>
      <c r="B137" s="122">
        <v>41197</v>
      </c>
      <c r="C137" s="116">
        <v>815</v>
      </c>
      <c r="D137" s="115" t="s">
        <v>96</v>
      </c>
      <c r="E137" s="147">
        <v>8.5</v>
      </c>
      <c r="F137" s="115"/>
      <c r="G137" s="152"/>
      <c r="H137" s="41">
        <v>7.44</v>
      </c>
      <c r="I137" s="84">
        <v>0.6</v>
      </c>
      <c r="J137" s="84">
        <f>I137-0</f>
        <v>0.6</v>
      </c>
      <c r="K137" s="41">
        <f>chloride!E194</f>
        <v>122.96187</v>
      </c>
      <c r="L137" s="84">
        <v>41.5</v>
      </c>
      <c r="M137" s="143" t="s">
        <v>101</v>
      </c>
      <c r="N137" s="90"/>
      <c r="O137" s="68" t="s">
        <v>67</v>
      </c>
      <c r="P137" s="68" t="s">
        <v>67</v>
      </c>
      <c r="Q137" s="69" t="s">
        <v>67</v>
      </c>
      <c r="R137" t="s">
        <v>102</v>
      </c>
    </row>
    <row r="138" spans="5:14" ht="15.75" thickBot="1">
      <c r="E138" s="159"/>
      <c r="G138" s="154"/>
      <c r="M138" s="99"/>
      <c r="N138" s="99"/>
    </row>
    <row r="139" spans="1:17" ht="15">
      <c r="A139" s="25" t="s">
        <v>19</v>
      </c>
      <c r="B139" s="104">
        <v>41232</v>
      </c>
      <c r="C139" s="105">
        <v>1200</v>
      </c>
      <c r="D139" s="106" t="s">
        <v>65</v>
      </c>
      <c r="E139" s="150">
        <v>6.7</v>
      </c>
      <c r="F139" s="105">
        <v>0</v>
      </c>
      <c r="G139" s="150">
        <v>3.6</v>
      </c>
      <c r="H139" s="39">
        <v>7.99</v>
      </c>
      <c r="I139" s="80">
        <v>11.8</v>
      </c>
      <c r="J139" s="80">
        <f>I139-9.5</f>
        <v>2.3000000000000007</v>
      </c>
      <c r="K139" s="39">
        <f>chloride!E200</f>
        <v>264.91785</v>
      </c>
      <c r="L139" s="80">
        <v>1.5</v>
      </c>
      <c r="M139" s="88">
        <v>750</v>
      </c>
      <c r="N139" s="88"/>
      <c r="O139" s="47">
        <v>0.06</v>
      </c>
      <c r="P139" s="48">
        <v>0.06</v>
      </c>
      <c r="Q139" s="135" t="s">
        <v>114</v>
      </c>
    </row>
    <row r="140" spans="1:17" ht="15">
      <c r="A140" s="26" t="s">
        <v>20</v>
      </c>
      <c r="B140" s="121">
        <v>41232</v>
      </c>
      <c r="C140" s="109">
        <v>1230</v>
      </c>
      <c r="D140" s="110" t="s">
        <v>65</v>
      </c>
      <c r="E140" s="151">
        <v>5</v>
      </c>
      <c r="F140" s="109"/>
      <c r="G140" s="151"/>
      <c r="H140" s="40">
        <v>8.01</v>
      </c>
      <c r="I140" s="82">
        <v>10.4</v>
      </c>
      <c r="J140" s="82">
        <f>I140-8.7</f>
        <v>1.700000000000001</v>
      </c>
      <c r="K140" s="40">
        <f>chloride!E201</f>
        <v>198.93831000000003</v>
      </c>
      <c r="L140" s="82">
        <v>2.5</v>
      </c>
      <c r="M140" s="89">
        <v>300</v>
      </c>
      <c r="N140" s="89"/>
      <c r="O140" s="50">
        <v>0.1</v>
      </c>
      <c r="P140" s="51">
        <v>0.06</v>
      </c>
      <c r="Q140" s="137" t="s">
        <v>115</v>
      </c>
    </row>
    <row r="141" spans="1:17" ht="15">
      <c r="A141" s="26" t="s">
        <v>21</v>
      </c>
      <c r="B141" s="121">
        <v>41232</v>
      </c>
      <c r="C141" s="109">
        <v>925</v>
      </c>
      <c r="D141" s="110" t="s">
        <v>96</v>
      </c>
      <c r="E141" s="151">
        <v>1.5</v>
      </c>
      <c r="F141" s="109"/>
      <c r="G141" s="151"/>
      <c r="H141" s="40">
        <v>7.98</v>
      </c>
      <c r="I141" s="82">
        <v>10.5</v>
      </c>
      <c r="J141" s="82">
        <f>I141-8.1</f>
        <v>2.4000000000000004</v>
      </c>
      <c r="K141" s="40">
        <f>chloride!E202</f>
        <v>318.90110999999996</v>
      </c>
      <c r="L141" s="82">
        <v>2.5</v>
      </c>
      <c r="M141" s="160" t="s">
        <v>120</v>
      </c>
      <c r="N141" s="89"/>
      <c r="O141" s="50">
        <v>0.06</v>
      </c>
      <c r="P141" s="51">
        <v>0.04</v>
      </c>
      <c r="Q141" s="137" t="s">
        <v>116</v>
      </c>
    </row>
    <row r="142" spans="1:17" ht="15">
      <c r="A142" s="26" t="s">
        <v>22</v>
      </c>
      <c r="B142" s="121">
        <v>41232</v>
      </c>
      <c r="C142" s="109">
        <v>910</v>
      </c>
      <c r="D142" s="110" t="s">
        <v>96</v>
      </c>
      <c r="E142" s="151">
        <v>5</v>
      </c>
      <c r="F142" s="109"/>
      <c r="G142" s="151"/>
      <c r="H142" s="40">
        <v>7.7</v>
      </c>
      <c r="I142" s="82">
        <v>6.8</v>
      </c>
      <c r="J142" s="82">
        <f>I142-5.3</f>
        <v>1.5</v>
      </c>
      <c r="K142" s="40">
        <f>chloride!E203</f>
        <v>418.8701099999999</v>
      </c>
      <c r="L142" s="82">
        <v>6</v>
      </c>
      <c r="M142" s="160" t="s">
        <v>122</v>
      </c>
      <c r="N142" s="89"/>
      <c r="O142" s="50">
        <v>0.24</v>
      </c>
      <c r="P142" s="51">
        <v>0.07</v>
      </c>
      <c r="Q142" s="137" t="s">
        <v>117</v>
      </c>
    </row>
    <row r="143" spans="1:17" ht="15">
      <c r="A143" s="26" t="s">
        <v>1</v>
      </c>
      <c r="B143" s="121">
        <v>41232</v>
      </c>
      <c r="C143" s="109">
        <v>845</v>
      </c>
      <c r="D143" s="110" t="s">
        <v>96</v>
      </c>
      <c r="E143" s="151">
        <v>1</v>
      </c>
      <c r="F143" s="109"/>
      <c r="G143" s="151"/>
      <c r="H143" s="40">
        <v>8.03</v>
      </c>
      <c r="I143" s="82">
        <v>10.5</v>
      </c>
      <c r="J143" s="82">
        <f>I143-5.6</f>
        <v>4.9</v>
      </c>
      <c r="K143" s="40">
        <f>chloride!E204</f>
        <v>231.92807999999994</v>
      </c>
      <c r="L143" s="82">
        <v>10.5</v>
      </c>
      <c r="M143" s="89">
        <v>250</v>
      </c>
      <c r="N143" s="89"/>
      <c r="O143" s="50">
        <v>0.2</v>
      </c>
      <c r="P143" s="51">
        <v>0.03</v>
      </c>
      <c r="Q143" s="137" t="s">
        <v>118</v>
      </c>
    </row>
    <row r="144" spans="1:17" ht="15">
      <c r="A144" s="26" t="s">
        <v>2</v>
      </c>
      <c r="B144" s="121">
        <v>41232</v>
      </c>
      <c r="C144" s="112">
        <v>935</v>
      </c>
      <c r="D144" s="110" t="s">
        <v>96</v>
      </c>
      <c r="E144" s="146">
        <v>2</v>
      </c>
      <c r="F144" s="112"/>
      <c r="G144" s="146"/>
      <c r="H144" s="40">
        <v>8.24</v>
      </c>
      <c r="I144" s="82">
        <v>12.2</v>
      </c>
      <c r="J144" s="82">
        <f>I144-9.3</f>
        <v>2.8999999999999986</v>
      </c>
      <c r="K144" s="82">
        <f>chloride!E205</f>
        <v>248.92281000000003</v>
      </c>
      <c r="L144" s="82">
        <v>3</v>
      </c>
      <c r="M144" s="142" t="s">
        <v>121</v>
      </c>
      <c r="N144" s="89">
        <v>140</v>
      </c>
      <c r="O144" s="50">
        <v>0.05</v>
      </c>
      <c r="P144" s="51">
        <v>0.03</v>
      </c>
      <c r="Q144" s="137" t="s">
        <v>119</v>
      </c>
    </row>
    <row r="145" spans="1:17" ht="15">
      <c r="A145" s="26" t="s">
        <v>3</v>
      </c>
      <c r="B145" s="121">
        <v>41232</v>
      </c>
      <c r="C145" s="112">
        <v>855</v>
      </c>
      <c r="D145" s="110" t="s">
        <v>96</v>
      </c>
      <c r="E145" s="146">
        <v>1.5</v>
      </c>
      <c r="F145" s="112"/>
      <c r="G145" s="146"/>
      <c r="H145" s="40">
        <v>8.04</v>
      </c>
      <c r="I145" s="82">
        <v>9.3</v>
      </c>
      <c r="J145" s="82">
        <f>I145-6.5</f>
        <v>2.8000000000000007</v>
      </c>
      <c r="K145" s="40">
        <f>chloride!E206</f>
        <v>166.94823</v>
      </c>
      <c r="L145" s="82">
        <v>6</v>
      </c>
      <c r="M145" s="89">
        <v>800</v>
      </c>
      <c r="N145" s="89"/>
      <c r="O145" s="50">
        <v>0.08</v>
      </c>
      <c r="P145" s="51">
        <v>0.03</v>
      </c>
      <c r="Q145" s="137" t="s">
        <v>91</v>
      </c>
    </row>
    <row r="146" spans="1:18" ht="15.75" thickBot="1">
      <c r="A146" s="141" t="s">
        <v>111</v>
      </c>
      <c r="B146" s="122">
        <v>41232</v>
      </c>
      <c r="C146" s="116">
        <v>840</v>
      </c>
      <c r="D146" s="115" t="s">
        <v>96</v>
      </c>
      <c r="E146" s="147">
        <v>1</v>
      </c>
      <c r="F146" s="115"/>
      <c r="G146" s="152"/>
      <c r="H146" s="41">
        <v>7.4</v>
      </c>
      <c r="I146" s="84">
        <v>0</v>
      </c>
      <c r="J146" s="84">
        <f>I146-0</f>
        <v>0</v>
      </c>
      <c r="K146" s="41">
        <f>chloride!E207</f>
        <v>184.94265000000004</v>
      </c>
      <c r="L146" s="84">
        <v>51.3</v>
      </c>
      <c r="M146" s="90">
        <v>550</v>
      </c>
      <c r="N146" s="90"/>
      <c r="O146" s="54">
        <v>0.22</v>
      </c>
      <c r="P146" s="55">
        <v>0.03</v>
      </c>
      <c r="Q146" s="136" t="s">
        <v>91</v>
      </c>
      <c r="R146" t="s">
        <v>112</v>
      </c>
    </row>
    <row r="147" spans="5:14" ht="15.75" thickBot="1">
      <c r="E147" s="159"/>
      <c r="G147" s="154"/>
      <c r="M147" s="99"/>
      <c r="N147" s="99"/>
    </row>
    <row r="148" spans="1:17" ht="15">
      <c r="A148" s="25" t="s">
        <v>19</v>
      </c>
      <c r="B148" s="104">
        <v>41260</v>
      </c>
      <c r="C148" s="105">
        <v>1240</v>
      </c>
      <c r="D148" s="106" t="s">
        <v>65</v>
      </c>
      <c r="E148" s="150">
        <v>6.7</v>
      </c>
      <c r="F148" s="105">
        <v>0</v>
      </c>
      <c r="G148" s="150">
        <v>6</v>
      </c>
      <c r="H148" s="39">
        <v>8.1</v>
      </c>
      <c r="I148" s="80">
        <v>11</v>
      </c>
      <c r="J148" s="80">
        <f>I148-7.6</f>
        <v>3.4000000000000004</v>
      </c>
      <c r="K148" s="39">
        <f>chloride!E213</f>
        <v>285.91134</v>
      </c>
      <c r="L148" s="80">
        <v>9</v>
      </c>
      <c r="M148" s="88">
        <v>200</v>
      </c>
      <c r="N148" s="88"/>
      <c r="O148" s="47"/>
      <c r="P148" s="48"/>
      <c r="Q148" s="49"/>
    </row>
    <row r="149" spans="1:17" ht="15">
      <c r="A149" s="26" t="s">
        <v>20</v>
      </c>
      <c r="B149" s="121">
        <v>41260</v>
      </c>
      <c r="C149" s="109">
        <v>1255</v>
      </c>
      <c r="D149" s="110" t="s">
        <v>65</v>
      </c>
      <c r="E149" s="151">
        <v>6.7</v>
      </c>
      <c r="F149" s="109"/>
      <c r="G149" s="151"/>
      <c r="H149" s="40">
        <v>8.14</v>
      </c>
      <c r="I149" s="82">
        <v>11</v>
      </c>
      <c r="J149" s="82">
        <f>I149-8.2</f>
        <v>2.8000000000000007</v>
      </c>
      <c r="K149" s="40">
        <f>chloride!E214</f>
        <v>209.93489999999997</v>
      </c>
      <c r="L149" s="82">
        <v>6.5</v>
      </c>
      <c r="M149" s="89">
        <v>367</v>
      </c>
      <c r="N149" s="89"/>
      <c r="O149" s="50"/>
      <c r="P149" s="51"/>
      <c r="Q149" s="52"/>
    </row>
    <row r="150" spans="1:17" ht="15">
      <c r="A150" s="26" t="s">
        <v>21</v>
      </c>
      <c r="B150" s="121">
        <v>41260</v>
      </c>
      <c r="C150" s="109">
        <v>1120</v>
      </c>
      <c r="D150" s="110" t="s">
        <v>96</v>
      </c>
      <c r="E150" s="151">
        <v>2</v>
      </c>
      <c r="F150" s="109"/>
      <c r="G150" s="151"/>
      <c r="H150" s="40">
        <v>8.06</v>
      </c>
      <c r="I150" s="82">
        <v>10.6</v>
      </c>
      <c r="J150" s="82">
        <f>I150-7.2</f>
        <v>3.3999999999999995</v>
      </c>
      <c r="K150" s="40">
        <f>chloride!E215</f>
        <v>319.9008</v>
      </c>
      <c r="L150" s="82">
        <v>6.5</v>
      </c>
      <c r="M150" s="89">
        <v>114</v>
      </c>
      <c r="N150" s="89"/>
      <c r="O150" s="50"/>
      <c r="P150" s="51"/>
      <c r="Q150" s="52"/>
    </row>
    <row r="151" spans="1:17" ht="15">
      <c r="A151" s="26" t="s">
        <v>22</v>
      </c>
      <c r="B151" s="121">
        <v>41260</v>
      </c>
      <c r="C151" s="109">
        <v>1110</v>
      </c>
      <c r="D151" s="110" t="s">
        <v>96</v>
      </c>
      <c r="E151" s="151">
        <v>3</v>
      </c>
      <c r="F151" s="109"/>
      <c r="G151" s="151"/>
      <c r="H151" s="40">
        <v>7.89</v>
      </c>
      <c r="I151" s="82">
        <v>8.9</v>
      </c>
      <c r="J151" s="82">
        <f>I151-6.1</f>
        <v>2.8000000000000007</v>
      </c>
      <c r="K151" s="40">
        <f>chloride!E216</f>
        <v>297.90762</v>
      </c>
      <c r="L151" s="82">
        <v>6.5</v>
      </c>
      <c r="M151" s="89">
        <v>860</v>
      </c>
      <c r="N151" s="89"/>
      <c r="O151" s="50"/>
      <c r="P151" s="51"/>
      <c r="Q151" s="52"/>
    </row>
    <row r="152" spans="1:17" ht="15">
      <c r="A152" s="26" t="s">
        <v>1</v>
      </c>
      <c r="B152" s="121">
        <v>41260</v>
      </c>
      <c r="C152" s="109">
        <v>1055</v>
      </c>
      <c r="D152" s="110" t="s">
        <v>96</v>
      </c>
      <c r="E152" s="151">
        <v>1</v>
      </c>
      <c r="F152" s="109"/>
      <c r="G152" s="151"/>
      <c r="H152" s="40">
        <v>7.97</v>
      </c>
      <c r="I152" s="82">
        <v>8.4</v>
      </c>
      <c r="J152" s="82">
        <f>I152-3.2</f>
        <v>5.2</v>
      </c>
      <c r="K152" s="40">
        <f>chloride!E217</f>
        <v>273.91506</v>
      </c>
      <c r="L152" s="82">
        <v>11</v>
      </c>
      <c r="M152" s="89">
        <v>5</v>
      </c>
      <c r="N152" s="89"/>
      <c r="O152" s="50"/>
      <c r="P152" s="51"/>
      <c r="Q152" s="52"/>
    </row>
    <row r="153" spans="1:17" ht="15">
      <c r="A153" s="26" t="s">
        <v>2</v>
      </c>
      <c r="B153" s="121">
        <v>41260</v>
      </c>
      <c r="C153" s="112">
        <v>1140</v>
      </c>
      <c r="D153" s="110" t="s">
        <v>96</v>
      </c>
      <c r="E153" s="146">
        <v>2</v>
      </c>
      <c r="F153" s="112"/>
      <c r="G153" s="146"/>
      <c r="H153" s="40">
        <v>8.38</v>
      </c>
      <c r="I153" s="82">
        <v>12.3</v>
      </c>
      <c r="J153" s="82">
        <f>I153-8.6</f>
        <v>3.700000000000001</v>
      </c>
      <c r="K153" s="82">
        <f>chloride!E218</f>
        <v>270.91599</v>
      </c>
      <c r="L153" s="82">
        <v>6.5</v>
      </c>
      <c r="M153" s="89">
        <v>270</v>
      </c>
      <c r="N153" s="89">
        <v>180</v>
      </c>
      <c r="O153" s="50"/>
      <c r="P153" s="51"/>
      <c r="Q153" s="52"/>
    </row>
    <row r="154" spans="1:17" ht="15">
      <c r="A154" s="26" t="s">
        <v>3</v>
      </c>
      <c r="B154" s="121">
        <v>41260</v>
      </c>
      <c r="C154" s="112">
        <v>1100</v>
      </c>
      <c r="D154" s="110" t="s">
        <v>96</v>
      </c>
      <c r="E154" s="146">
        <v>1</v>
      </c>
      <c r="F154" s="112"/>
      <c r="G154" s="146"/>
      <c r="H154" s="40">
        <v>8.16</v>
      </c>
      <c r="I154" s="82">
        <v>9.6</v>
      </c>
      <c r="J154" s="82">
        <f>I154-5.2</f>
        <v>4.3999999999999995</v>
      </c>
      <c r="K154" s="40">
        <f>chloride!E219</f>
        <v>263.91816</v>
      </c>
      <c r="L154" s="82">
        <v>6.5</v>
      </c>
      <c r="M154" s="89">
        <v>9</v>
      </c>
      <c r="N154" s="89"/>
      <c r="O154" s="50"/>
      <c r="P154" s="51"/>
      <c r="Q154" s="52"/>
    </row>
    <row r="155" spans="1:18" ht="15.75" thickBot="1">
      <c r="A155" s="27" t="s">
        <v>4</v>
      </c>
      <c r="B155" s="122">
        <v>41260</v>
      </c>
      <c r="C155" s="116">
        <v>1045</v>
      </c>
      <c r="D155" s="115" t="s">
        <v>96</v>
      </c>
      <c r="E155" s="147">
        <v>1</v>
      </c>
      <c r="F155" s="115"/>
      <c r="G155" s="152"/>
      <c r="H155" s="41">
        <v>7.47</v>
      </c>
      <c r="I155" s="84">
        <v>0.9</v>
      </c>
      <c r="J155" s="84">
        <f>I155-0</f>
        <v>0.9</v>
      </c>
      <c r="K155" s="41">
        <f>chloride!E220</f>
        <v>218.93210999999997</v>
      </c>
      <c r="L155" s="84">
        <v>262</v>
      </c>
      <c r="M155" s="90">
        <v>400</v>
      </c>
      <c r="N155" s="90"/>
      <c r="O155" s="54"/>
      <c r="P155" s="55"/>
      <c r="Q155" s="56"/>
      <c r="R155" t="s">
        <v>124</v>
      </c>
    </row>
    <row r="156" spans="5:10" ht="15.75" thickBot="1">
      <c r="E156" s="159"/>
      <c r="G156" s="154"/>
      <c r="J156" s="167"/>
    </row>
    <row r="157" spans="1:17" ht="15">
      <c r="A157" s="25" t="s">
        <v>19</v>
      </c>
      <c r="B157" s="104">
        <v>41288</v>
      </c>
      <c r="C157" s="105">
        <v>1000</v>
      </c>
      <c r="D157" s="106" t="s">
        <v>68</v>
      </c>
      <c r="E157" s="150">
        <v>1.1</v>
      </c>
      <c r="F157" s="105">
        <v>0</v>
      </c>
      <c r="G157" s="150">
        <v>23</v>
      </c>
      <c r="H157" s="39">
        <v>7.9</v>
      </c>
      <c r="I157" s="80">
        <v>11.3</v>
      </c>
      <c r="J157" s="166">
        <f>I157-8.15</f>
        <v>3.1500000000000004</v>
      </c>
      <c r="K157" s="39">
        <f>chloride!E226</f>
        <v>259.9194</v>
      </c>
      <c r="L157" s="80">
        <v>6</v>
      </c>
      <c r="M157" s="88">
        <v>100</v>
      </c>
      <c r="N157" s="88"/>
      <c r="O157" s="47"/>
      <c r="P157" s="48"/>
      <c r="Q157" s="49"/>
    </row>
    <row r="158" spans="1:17" ht="15">
      <c r="A158" s="26" t="s">
        <v>20</v>
      </c>
      <c r="B158" s="121">
        <v>41288</v>
      </c>
      <c r="C158" s="109">
        <v>1010</v>
      </c>
      <c r="D158" s="110" t="s">
        <v>68</v>
      </c>
      <c r="E158" s="151">
        <v>0</v>
      </c>
      <c r="F158" s="109"/>
      <c r="G158" s="151"/>
      <c r="H158" s="40">
        <v>7.82</v>
      </c>
      <c r="I158" s="82">
        <v>11.7</v>
      </c>
      <c r="J158" s="166">
        <f>I158-8.2</f>
        <v>3.5</v>
      </c>
      <c r="K158" s="40">
        <f>chloride!E227</f>
        <v>227.92932000000002</v>
      </c>
      <c r="L158" s="82">
        <v>4</v>
      </c>
      <c r="M158" s="89">
        <v>88</v>
      </c>
      <c r="N158" s="89"/>
      <c r="O158" s="50"/>
      <c r="P158" s="51"/>
      <c r="Q158" s="52"/>
    </row>
    <row r="159" spans="1:17" ht="15">
      <c r="A159" s="26" t="s">
        <v>21</v>
      </c>
      <c r="B159" s="121">
        <v>41288</v>
      </c>
      <c r="C159" s="109">
        <v>1020</v>
      </c>
      <c r="D159" s="110" t="s">
        <v>84</v>
      </c>
      <c r="E159" s="151">
        <v>0.4</v>
      </c>
      <c r="F159" s="109"/>
      <c r="G159" s="151"/>
      <c r="H159" s="40">
        <v>7.98</v>
      </c>
      <c r="I159" s="82">
        <v>11.7</v>
      </c>
      <c r="J159" s="82">
        <f>I159-8.2</f>
        <v>3.5</v>
      </c>
      <c r="K159" s="40">
        <f>chloride!E228</f>
        <v>265.91754000000003</v>
      </c>
      <c r="L159" s="82">
        <v>10</v>
      </c>
      <c r="M159" s="89">
        <v>80</v>
      </c>
      <c r="N159" s="89"/>
      <c r="O159" s="50"/>
      <c r="P159" s="51"/>
      <c r="Q159" s="52"/>
    </row>
    <row r="160" spans="1:17" ht="15">
      <c r="A160" s="26" t="s">
        <v>22</v>
      </c>
      <c r="B160" s="121">
        <v>41288</v>
      </c>
      <c r="C160" s="109">
        <v>1010</v>
      </c>
      <c r="D160" s="110" t="s">
        <v>84</v>
      </c>
      <c r="E160" s="151">
        <v>0.9</v>
      </c>
      <c r="F160" s="109"/>
      <c r="G160" s="151"/>
      <c r="H160" s="40">
        <v>7.81</v>
      </c>
      <c r="I160" s="82">
        <v>10.7</v>
      </c>
      <c r="J160" s="82">
        <f>I160-7.75</f>
        <v>2.9499999999999993</v>
      </c>
      <c r="K160" s="40">
        <f>chloride!E229</f>
        <v>226.92962999999997</v>
      </c>
      <c r="L160" s="82">
        <v>7.5</v>
      </c>
      <c r="M160" s="89">
        <v>300</v>
      </c>
      <c r="N160" s="89"/>
      <c r="O160" s="50"/>
      <c r="P160" s="51"/>
      <c r="Q160" s="52"/>
    </row>
    <row r="161" spans="1:17" ht="15">
      <c r="A161" s="26" t="s">
        <v>1</v>
      </c>
      <c r="B161" s="121">
        <v>41288</v>
      </c>
      <c r="C161" s="109">
        <v>930</v>
      </c>
      <c r="D161" s="110" t="s">
        <v>84</v>
      </c>
      <c r="E161" s="109">
        <v>0.7</v>
      </c>
      <c r="F161" s="109"/>
      <c r="G161" s="151"/>
      <c r="H161" s="40">
        <v>7.82</v>
      </c>
      <c r="I161" s="82">
        <v>10.2</v>
      </c>
      <c r="J161" s="82">
        <f>I161-7.1</f>
        <v>3.0999999999999996</v>
      </c>
      <c r="K161" s="40">
        <f>chloride!E230</f>
        <v>190.94079</v>
      </c>
      <c r="L161" s="82">
        <v>5.5</v>
      </c>
      <c r="M161" s="89">
        <v>55</v>
      </c>
      <c r="N161" s="89"/>
      <c r="O161" s="50"/>
      <c r="P161" s="51"/>
      <c r="Q161" s="52"/>
    </row>
    <row r="162" spans="1:17" ht="15">
      <c r="A162" s="26" t="s">
        <v>2</v>
      </c>
      <c r="B162" s="121">
        <v>41288</v>
      </c>
      <c r="C162" s="112">
        <v>1040</v>
      </c>
      <c r="D162" s="110" t="s">
        <v>84</v>
      </c>
      <c r="E162" s="112">
        <v>0.6</v>
      </c>
      <c r="F162" s="112"/>
      <c r="G162" s="146"/>
      <c r="H162" s="40">
        <v>8.2</v>
      </c>
      <c r="I162" s="82">
        <v>12.9</v>
      </c>
      <c r="J162" s="82">
        <f>I162-9.25</f>
        <v>3.6500000000000004</v>
      </c>
      <c r="K162" s="82">
        <f>chloride!E231</f>
        <v>305.90514</v>
      </c>
      <c r="L162" s="82">
        <v>4</v>
      </c>
      <c r="M162" s="89">
        <v>104</v>
      </c>
      <c r="N162" s="89">
        <v>156</v>
      </c>
      <c r="O162" s="50"/>
      <c r="P162" s="51"/>
      <c r="Q162" s="52"/>
    </row>
    <row r="163" spans="1:18" ht="15">
      <c r="A163" s="26" t="s">
        <v>3</v>
      </c>
      <c r="B163" s="121">
        <v>41288</v>
      </c>
      <c r="C163" s="112">
        <v>950</v>
      </c>
      <c r="D163" s="110" t="s">
        <v>84</v>
      </c>
      <c r="E163" s="112">
        <v>0.4</v>
      </c>
      <c r="F163" s="112"/>
      <c r="G163" s="146"/>
      <c r="H163" s="40">
        <v>7.95</v>
      </c>
      <c r="I163" s="82">
        <v>10.6</v>
      </c>
      <c r="J163" s="100" t="s">
        <v>59</v>
      </c>
      <c r="K163" s="40">
        <f>chloride!E232</f>
        <v>191.94047999999998</v>
      </c>
      <c r="L163" s="82">
        <v>5</v>
      </c>
      <c r="M163" s="89">
        <v>66</v>
      </c>
      <c r="N163" s="89"/>
      <c r="O163" s="50"/>
      <c r="P163" s="51"/>
      <c r="Q163" s="52"/>
      <c r="R163" t="s">
        <v>125</v>
      </c>
    </row>
    <row r="164" spans="1:18" ht="15.75" thickBot="1">
      <c r="A164" s="27" t="s">
        <v>4</v>
      </c>
      <c r="B164" s="161" t="s">
        <v>59</v>
      </c>
      <c r="C164" s="116" t="s">
        <v>59</v>
      </c>
      <c r="D164" s="115" t="s">
        <v>59</v>
      </c>
      <c r="E164" s="116" t="s">
        <v>59</v>
      </c>
      <c r="F164" s="115"/>
      <c r="G164" s="152"/>
      <c r="H164" s="162" t="s">
        <v>59</v>
      </c>
      <c r="I164" s="163" t="s">
        <v>59</v>
      </c>
      <c r="J164" s="163" t="s">
        <v>59</v>
      </c>
      <c r="K164" s="162" t="s">
        <v>59</v>
      </c>
      <c r="L164" s="163" t="s">
        <v>59</v>
      </c>
      <c r="M164" s="143" t="s">
        <v>59</v>
      </c>
      <c r="N164" s="90"/>
      <c r="O164" s="54"/>
      <c r="P164" s="55"/>
      <c r="Q164" s="56"/>
      <c r="R164" t="s">
        <v>123</v>
      </c>
    </row>
    <row r="165" ht="15.75" thickBot="1">
      <c r="G165" s="154"/>
    </row>
    <row r="166" spans="1:18" ht="15.75" thickBot="1">
      <c r="A166" s="25" t="s">
        <v>19</v>
      </c>
      <c r="B166" s="104">
        <v>41323</v>
      </c>
      <c r="C166" s="105">
        <v>1115</v>
      </c>
      <c r="D166" s="106" t="s">
        <v>84</v>
      </c>
      <c r="E166" s="105">
        <v>2.2</v>
      </c>
      <c r="F166" s="105">
        <v>0.4</v>
      </c>
      <c r="G166" s="150">
        <v>46</v>
      </c>
      <c r="H166" s="39">
        <v>8.1</v>
      </c>
      <c r="I166" s="80">
        <f>23.4-10.75</f>
        <v>12.649999999999999</v>
      </c>
      <c r="J166" s="93" t="s">
        <v>126</v>
      </c>
      <c r="K166" s="39">
        <v>197.94</v>
      </c>
      <c r="L166" s="80">
        <v>7.5</v>
      </c>
      <c r="M166" s="88">
        <v>176</v>
      </c>
      <c r="N166" s="88"/>
      <c r="O166" s="47"/>
      <c r="P166" s="48"/>
      <c r="Q166" s="49"/>
      <c r="R166" t="s">
        <v>127</v>
      </c>
    </row>
    <row r="167" spans="1:18" ht="15.75" thickBot="1">
      <c r="A167" s="26" t="s">
        <v>20</v>
      </c>
      <c r="B167" s="104">
        <v>41323</v>
      </c>
      <c r="C167" s="109">
        <v>1120</v>
      </c>
      <c r="D167" s="106" t="s">
        <v>84</v>
      </c>
      <c r="E167" s="109">
        <v>2.8</v>
      </c>
      <c r="F167" s="109"/>
      <c r="G167" s="151"/>
      <c r="H167" s="40">
        <v>8.04</v>
      </c>
      <c r="I167" s="82">
        <f>21.91-9.94</f>
        <v>11.97</v>
      </c>
      <c r="J167" s="100" t="s">
        <v>126</v>
      </c>
      <c r="K167" s="40">
        <v>193.44</v>
      </c>
      <c r="L167" s="82">
        <v>12.5</v>
      </c>
      <c r="M167" s="89">
        <v>256</v>
      </c>
      <c r="N167" s="89"/>
      <c r="O167" s="50"/>
      <c r="P167" s="51"/>
      <c r="Q167" s="52"/>
      <c r="R167" t="s">
        <v>127</v>
      </c>
    </row>
    <row r="168" spans="1:17" ht="15.75" thickBot="1">
      <c r="A168" s="26" t="s">
        <v>21</v>
      </c>
      <c r="B168" s="104">
        <v>41323</v>
      </c>
      <c r="C168" s="109">
        <v>1106</v>
      </c>
      <c r="D168" s="106" t="s">
        <v>84</v>
      </c>
      <c r="E168" s="109">
        <v>2.8</v>
      </c>
      <c r="F168" s="109"/>
      <c r="G168" s="151"/>
      <c r="H168" s="40">
        <v>8.08</v>
      </c>
      <c r="I168" s="82">
        <f>22.78-10.88</f>
        <v>11.9</v>
      </c>
      <c r="J168" s="82">
        <f aca="true" t="shared" si="0" ref="J168:J173">I168-8.15</f>
        <v>3.75</v>
      </c>
      <c r="K168" s="40">
        <v>188.94</v>
      </c>
      <c r="L168" s="82">
        <v>11</v>
      </c>
      <c r="M168" s="89">
        <v>75</v>
      </c>
      <c r="N168" s="89"/>
      <c r="O168" s="50"/>
      <c r="P168" s="51"/>
      <c r="Q168" s="52"/>
    </row>
    <row r="169" spans="1:17" ht="15.75" thickBot="1">
      <c r="A169" s="26" t="s">
        <v>22</v>
      </c>
      <c r="B169" s="104">
        <v>41323</v>
      </c>
      <c r="C169" s="109">
        <v>1049</v>
      </c>
      <c r="D169" s="106" t="s">
        <v>84</v>
      </c>
      <c r="E169" s="109">
        <v>4.4</v>
      </c>
      <c r="F169" s="109"/>
      <c r="G169" s="151"/>
      <c r="H169" s="40">
        <v>7.8</v>
      </c>
      <c r="I169" s="82">
        <v>10.75</v>
      </c>
      <c r="J169" s="82">
        <f t="shared" si="0"/>
        <v>2.5999999999999996</v>
      </c>
      <c r="K169" s="40">
        <v>158.95</v>
      </c>
      <c r="L169" s="82">
        <v>2.5</v>
      </c>
      <c r="M169" s="89">
        <v>244</v>
      </c>
      <c r="N169" s="89"/>
      <c r="O169" s="50"/>
      <c r="P169" s="51"/>
      <c r="Q169" s="52"/>
    </row>
    <row r="170" spans="1:17" ht="15.75" thickBot="1">
      <c r="A170" s="26" t="s">
        <v>1</v>
      </c>
      <c r="B170" s="104">
        <v>41323</v>
      </c>
      <c r="C170" s="109">
        <v>1010</v>
      </c>
      <c r="D170" s="106" t="s">
        <v>84</v>
      </c>
      <c r="E170" s="109">
        <v>1.7</v>
      </c>
      <c r="F170" s="109"/>
      <c r="G170" s="151"/>
      <c r="H170" s="40">
        <v>7.76</v>
      </c>
      <c r="I170" s="82">
        <f>11.41-0.22</f>
        <v>11.19</v>
      </c>
      <c r="J170" s="82">
        <f t="shared" si="0"/>
        <v>3.039999999999999</v>
      </c>
      <c r="K170" s="40">
        <v>157.95</v>
      </c>
      <c r="L170" s="82">
        <v>3</v>
      </c>
      <c r="M170" s="89">
        <v>2</v>
      </c>
      <c r="N170" s="89"/>
      <c r="O170" s="50"/>
      <c r="P170" s="51"/>
      <c r="Q170" s="52"/>
    </row>
    <row r="171" spans="1:17" ht="15.75" thickBot="1">
      <c r="A171" s="26" t="s">
        <v>2</v>
      </c>
      <c r="B171" s="104">
        <v>41323</v>
      </c>
      <c r="C171" s="112">
        <v>1216</v>
      </c>
      <c r="D171" s="106" t="s">
        <v>84</v>
      </c>
      <c r="E171" s="112">
        <v>0.6</v>
      </c>
      <c r="F171" s="112"/>
      <c r="G171" s="146"/>
      <c r="H171" s="40">
        <v>8.29</v>
      </c>
      <c r="I171" s="82">
        <f>23.6-11.41</f>
        <v>12.190000000000001</v>
      </c>
      <c r="J171" s="82">
        <f t="shared" si="0"/>
        <v>4.040000000000001</v>
      </c>
      <c r="K171" s="40">
        <v>209.444</v>
      </c>
      <c r="L171" s="82">
        <v>29</v>
      </c>
      <c r="M171" s="89">
        <v>96</v>
      </c>
      <c r="N171" s="89">
        <v>440</v>
      </c>
      <c r="O171" s="50"/>
      <c r="P171" s="51"/>
      <c r="Q171" s="52"/>
    </row>
    <row r="172" spans="1:17" ht="15.75" thickBot="1">
      <c r="A172" s="26" t="s">
        <v>3</v>
      </c>
      <c r="B172" s="104">
        <v>41323</v>
      </c>
      <c r="C172" s="112">
        <v>1029</v>
      </c>
      <c r="D172" s="106" t="s">
        <v>84</v>
      </c>
      <c r="E172" s="112">
        <v>2.2</v>
      </c>
      <c r="F172" s="112"/>
      <c r="G172" s="146"/>
      <c r="H172" s="40">
        <v>7.78</v>
      </c>
      <c r="I172" s="82">
        <v>10.78</v>
      </c>
      <c r="J172" s="82">
        <f t="shared" si="0"/>
        <v>2.629999999999999</v>
      </c>
      <c r="K172" s="40">
        <v>134.46</v>
      </c>
      <c r="L172" s="82">
        <v>4</v>
      </c>
      <c r="M172" s="89">
        <v>3</v>
      </c>
      <c r="N172" s="89"/>
      <c r="O172" s="50"/>
      <c r="P172" s="51"/>
      <c r="Q172" s="52"/>
    </row>
    <row r="173" spans="1:17" ht="15.75" thickBot="1">
      <c r="A173" s="27" t="s">
        <v>4</v>
      </c>
      <c r="B173" s="104">
        <v>41323</v>
      </c>
      <c r="C173" s="116">
        <v>950</v>
      </c>
      <c r="D173" s="119" t="s">
        <v>84</v>
      </c>
      <c r="E173" s="116">
        <v>1.7</v>
      </c>
      <c r="F173" s="115"/>
      <c r="G173" s="152"/>
      <c r="H173" s="41">
        <v>7.67</v>
      </c>
      <c r="I173" s="84">
        <v>9.74</v>
      </c>
      <c r="J173" s="84">
        <f t="shared" si="0"/>
        <v>1.5899999999999999</v>
      </c>
      <c r="K173" s="41">
        <v>103.97</v>
      </c>
      <c r="L173" s="84">
        <v>2</v>
      </c>
      <c r="M173" s="90">
        <v>4</v>
      </c>
      <c r="N173" s="90"/>
      <c r="O173" s="54"/>
      <c r="P173" s="55"/>
      <c r="Q173" s="56"/>
    </row>
    <row r="174" spans="5:7" ht="15.75" thickBot="1">
      <c r="E174" s="170"/>
      <c r="G174" s="154"/>
    </row>
    <row r="175" spans="1:17" ht="15.75" thickBot="1">
      <c r="A175" s="25" t="s">
        <v>19</v>
      </c>
      <c r="B175" s="104">
        <v>41358</v>
      </c>
      <c r="C175" s="105">
        <v>1330</v>
      </c>
      <c r="D175" s="168" t="s">
        <v>84</v>
      </c>
      <c r="E175" s="171">
        <v>3.333333333333333</v>
      </c>
      <c r="F175" s="169">
        <v>0</v>
      </c>
      <c r="G175" s="150">
        <v>33</v>
      </c>
      <c r="H175" s="39">
        <v>8.18</v>
      </c>
      <c r="I175" s="80">
        <v>12.8</v>
      </c>
      <c r="J175" s="80"/>
      <c r="K175" s="39">
        <v>170.87</v>
      </c>
      <c r="L175" s="80">
        <v>6</v>
      </c>
      <c r="M175" s="88"/>
      <c r="N175" s="88"/>
      <c r="O175" s="47"/>
      <c r="P175" s="48"/>
      <c r="Q175" s="49"/>
    </row>
    <row r="176" spans="1:17" ht="15.75" thickBot="1">
      <c r="A176" s="26" t="s">
        <v>20</v>
      </c>
      <c r="B176" s="104">
        <v>41358</v>
      </c>
      <c r="C176" s="109">
        <v>1340</v>
      </c>
      <c r="D176" s="106" t="s">
        <v>84</v>
      </c>
      <c r="E176" s="171">
        <v>3.888888888888889</v>
      </c>
      <c r="F176" s="109"/>
      <c r="G176" s="151"/>
      <c r="H176" s="40">
        <v>8.11</v>
      </c>
      <c r="I176" s="82">
        <v>12.5</v>
      </c>
      <c r="J176" s="82"/>
      <c r="K176" s="40">
        <v>167.6</v>
      </c>
      <c r="L176" s="82">
        <v>8</v>
      </c>
      <c r="M176" s="89"/>
      <c r="N176" s="89"/>
      <c r="O176" s="50"/>
      <c r="P176" s="51"/>
      <c r="Q176" s="52"/>
    </row>
    <row r="177" spans="1:17" ht="15.75" thickBot="1">
      <c r="A177" s="26" t="s">
        <v>21</v>
      </c>
      <c r="B177" s="104">
        <v>41358</v>
      </c>
      <c r="C177" s="109">
        <v>1240</v>
      </c>
      <c r="D177" s="106" t="s">
        <v>84</v>
      </c>
      <c r="E177" s="172">
        <v>2.7777777777777777</v>
      </c>
      <c r="F177" s="109"/>
      <c r="G177" s="151"/>
      <c r="H177" s="40">
        <v>8.17</v>
      </c>
      <c r="I177" s="82">
        <v>12.9</v>
      </c>
      <c r="J177" s="82"/>
      <c r="K177" s="40">
        <v>159.21</v>
      </c>
      <c r="L177" s="82">
        <v>5.5</v>
      </c>
      <c r="M177" s="89"/>
      <c r="N177" s="89"/>
      <c r="O177" s="50"/>
      <c r="P177" s="51"/>
      <c r="Q177" s="52"/>
    </row>
    <row r="178" spans="1:17" ht="15.75" thickBot="1">
      <c r="A178" s="26" t="s">
        <v>22</v>
      </c>
      <c r="B178" s="104">
        <v>41358</v>
      </c>
      <c r="C178" s="109">
        <v>1220</v>
      </c>
      <c r="D178" s="106" t="s">
        <v>84</v>
      </c>
      <c r="E178" s="172">
        <v>2.7777777777777777</v>
      </c>
      <c r="F178" s="109"/>
      <c r="G178" s="151"/>
      <c r="H178" s="40">
        <v>7.84</v>
      </c>
      <c r="I178" s="82">
        <v>12</v>
      </c>
      <c r="J178" s="82"/>
      <c r="K178" s="40">
        <v>121.19</v>
      </c>
      <c r="L178" s="82">
        <v>4.5</v>
      </c>
      <c r="M178" s="89"/>
      <c r="N178" s="89"/>
      <c r="O178" s="50"/>
      <c r="P178" s="51"/>
      <c r="Q178" s="52"/>
    </row>
    <row r="179" spans="1:17" ht="15.75" thickBot="1">
      <c r="A179" s="26" t="s">
        <v>1</v>
      </c>
      <c r="B179" s="104">
        <v>41358</v>
      </c>
      <c r="C179" s="109">
        <v>1140</v>
      </c>
      <c r="D179" s="106" t="s">
        <v>84</v>
      </c>
      <c r="E179" s="172">
        <v>2.2222222222222223</v>
      </c>
      <c r="F179" s="109"/>
      <c r="G179" s="151"/>
      <c r="H179" s="40">
        <v>7.67</v>
      </c>
      <c r="I179" s="82">
        <v>12.8</v>
      </c>
      <c r="J179" s="82"/>
      <c r="K179" s="40">
        <v>126.52</v>
      </c>
      <c r="L179" s="82">
        <v>6</v>
      </c>
      <c r="M179" s="89"/>
      <c r="N179" s="89"/>
      <c r="O179" s="50"/>
      <c r="P179" s="51"/>
      <c r="Q179" s="52"/>
    </row>
    <row r="180" spans="1:17" ht="15.75" thickBot="1">
      <c r="A180" s="26" t="s">
        <v>2</v>
      </c>
      <c r="B180" s="104">
        <v>41358</v>
      </c>
      <c r="C180" s="112">
        <v>1200</v>
      </c>
      <c r="D180" s="106" t="s">
        <v>84</v>
      </c>
      <c r="E180" s="172">
        <v>3.333333333333333</v>
      </c>
      <c r="F180" s="112"/>
      <c r="G180" s="146"/>
      <c r="H180" s="40">
        <v>8.28</v>
      </c>
      <c r="I180" s="82">
        <v>13.2</v>
      </c>
      <c r="J180" s="82"/>
      <c r="K180" s="82">
        <v>189.94</v>
      </c>
      <c r="L180" s="82">
        <v>6</v>
      </c>
      <c r="M180" s="89"/>
      <c r="N180" s="89"/>
      <c r="O180" s="50"/>
      <c r="P180" s="51"/>
      <c r="Q180" s="52"/>
    </row>
    <row r="181" spans="1:17" ht="15.75" thickBot="1">
      <c r="A181" s="26" t="s">
        <v>3</v>
      </c>
      <c r="B181" s="104">
        <v>41358</v>
      </c>
      <c r="C181" s="112">
        <v>1155</v>
      </c>
      <c r="D181" s="106" t="s">
        <v>84</v>
      </c>
      <c r="E181" s="172">
        <v>2.7777777777777777</v>
      </c>
      <c r="F181" s="112"/>
      <c r="G181" s="146"/>
      <c r="H181" s="40">
        <v>7.77</v>
      </c>
      <c r="I181" s="82">
        <v>11.3</v>
      </c>
      <c r="J181" s="82"/>
      <c r="K181" s="40">
        <v>89.97</v>
      </c>
      <c r="L181" s="82">
        <v>7.5</v>
      </c>
      <c r="M181" s="89"/>
      <c r="N181" s="89"/>
      <c r="O181" s="50"/>
      <c r="P181" s="51"/>
      <c r="Q181" s="52"/>
    </row>
    <row r="182" spans="1:17" ht="15.75" thickBot="1">
      <c r="A182" s="27" t="s">
        <v>4</v>
      </c>
      <c r="B182" s="104">
        <v>41358</v>
      </c>
      <c r="C182" s="116">
        <v>1130</v>
      </c>
      <c r="D182" s="119" t="s">
        <v>84</v>
      </c>
      <c r="E182" s="173">
        <v>3.333333333333333</v>
      </c>
      <c r="F182" s="115"/>
      <c r="G182" s="152"/>
      <c r="H182" s="41">
        <v>7.67</v>
      </c>
      <c r="I182" s="84">
        <v>11.1</v>
      </c>
      <c r="J182" s="84"/>
      <c r="K182" s="41">
        <v>96.97</v>
      </c>
      <c r="L182" s="84">
        <v>3.5</v>
      </c>
      <c r="M182" s="90"/>
      <c r="N182" s="90"/>
      <c r="O182" s="54"/>
      <c r="P182" s="55"/>
      <c r="Q182" s="56"/>
    </row>
    <row r="183" ht="15.75" thickBot="1"/>
    <row r="184" spans="1:17" ht="15">
      <c r="A184" s="25" t="s">
        <v>19</v>
      </c>
      <c r="B184" s="104"/>
      <c r="C184" s="105"/>
      <c r="D184" s="106"/>
      <c r="E184" s="105"/>
      <c r="F184" s="105"/>
      <c r="G184" s="150"/>
      <c r="H184" s="39"/>
      <c r="I184" s="80"/>
      <c r="J184" s="80"/>
      <c r="K184" s="39"/>
      <c r="L184" s="80"/>
      <c r="M184" s="88"/>
      <c r="N184" s="88"/>
      <c r="O184" s="47"/>
      <c r="P184" s="48"/>
      <c r="Q184" s="49"/>
    </row>
    <row r="185" spans="1:17" ht="15">
      <c r="A185" s="26" t="s">
        <v>20</v>
      </c>
      <c r="B185" s="121"/>
      <c r="C185" s="109"/>
      <c r="D185" s="110"/>
      <c r="E185" s="109"/>
      <c r="F185" s="109"/>
      <c r="G185" s="151"/>
      <c r="H185" s="40"/>
      <c r="I185" s="82"/>
      <c r="J185" s="82"/>
      <c r="K185" s="40"/>
      <c r="L185" s="82"/>
      <c r="M185" s="89"/>
      <c r="N185" s="89"/>
      <c r="O185" s="50"/>
      <c r="P185" s="51"/>
      <c r="Q185" s="52"/>
    </row>
    <row r="186" spans="1:17" ht="15">
      <c r="A186" s="26" t="s">
        <v>21</v>
      </c>
      <c r="B186" s="121"/>
      <c r="C186" s="109"/>
      <c r="D186" s="110"/>
      <c r="E186" s="109"/>
      <c r="F186" s="109"/>
      <c r="G186" s="151"/>
      <c r="H186" s="40"/>
      <c r="I186" s="82"/>
      <c r="J186" s="82"/>
      <c r="K186" s="40"/>
      <c r="L186" s="82"/>
      <c r="M186" s="89"/>
      <c r="N186" s="89"/>
      <c r="O186" s="50"/>
      <c r="P186" s="51"/>
      <c r="Q186" s="52"/>
    </row>
    <row r="187" spans="1:17" ht="15">
      <c r="A187" s="26" t="s">
        <v>22</v>
      </c>
      <c r="B187" s="121"/>
      <c r="C187" s="109"/>
      <c r="D187" s="110"/>
      <c r="E187" s="109"/>
      <c r="F187" s="109"/>
      <c r="G187" s="151"/>
      <c r="H187" s="40"/>
      <c r="I187" s="82"/>
      <c r="J187" s="82"/>
      <c r="K187" s="40"/>
      <c r="L187" s="82"/>
      <c r="M187" s="89"/>
      <c r="N187" s="89"/>
      <c r="O187" s="50"/>
      <c r="P187" s="51"/>
      <c r="Q187" s="52"/>
    </row>
    <row r="188" spans="1:17" ht="15">
      <c r="A188" s="26" t="s">
        <v>1</v>
      </c>
      <c r="B188" s="121"/>
      <c r="C188" s="109"/>
      <c r="D188" s="110"/>
      <c r="E188" s="109"/>
      <c r="F188" s="109"/>
      <c r="G188" s="151"/>
      <c r="H188" s="40"/>
      <c r="I188" s="82"/>
      <c r="J188" s="82"/>
      <c r="K188" s="40"/>
      <c r="L188" s="82"/>
      <c r="M188" s="89"/>
      <c r="N188" s="89"/>
      <c r="O188" s="50"/>
      <c r="P188" s="51"/>
      <c r="Q188" s="52"/>
    </row>
    <row r="189" spans="1:17" ht="15">
      <c r="A189" s="26" t="s">
        <v>2</v>
      </c>
      <c r="B189" s="112"/>
      <c r="C189" s="112"/>
      <c r="D189" s="112"/>
      <c r="E189" s="112"/>
      <c r="F189" s="112"/>
      <c r="G189" s="146"/>
      <c r="H189" s="40"/>
      <c r="I189" s="82"/>
      <c r="J189" s="82"/>
      <c r="K189" s="82"/>
      <c r="L189" s="82"/>
      <c r="M189" s="89"/>
      <c r="N189" s="89"/>
      <c r="O189" s="50"/>
      <c r="P189" s="51"/>
      <c r="Q189" s="52"/>
    </row>
    <row r="190" spans="1:17" ht="15">
      <c r="A190" s="26" t="s">
        <v>3</v>
      </c>
      <c r="B190" s="121"/>
      <c r="C190" s="112"/>
      <c r="D190" s="110"/>
      <c r="E190" s="112"/>
      <c r="F190" s="112"/>
      <c r="G190" s="146"/>
      <c r="H190" s="40"/>
      <c r="I190" s="82"/>
      <c r="J190" s="82"/>
      <c r="K190" s="40"/>
      <c r="L190" s="82"/>
      <c r="M190" s="89"/>
      <c r="N190" s="89"/>
      <c r="O190" s="50"/>
      <c r="P190" s="51"/>
      <c r="Q190" s="52"/>
    </row>
    <row r="191" spans="1:17" ht="15.75" thickBot="1">
      <c r="A191" s="27" t="s">
        <v>4</v>
      </c>
      <c r="B191" s="122"/>
      <c r="C191" s="116"/>
      <c r="D191" s="115"/>
      <c r="E191" s="116"/>
      <c r="F191" s="115"/>
      <c r="G191" s="152"/>
      <c r="H191" s="41"/>
      <c r="I191" s="84"/>
      <c r="J191" s="84"/>
      <c r="K191" s="41"/>
      <c r="L191" s="84"/>
      <c r="M191" s="90"/>
      <c r="N191" s="90"/>
      <c r="O191" s="54"/>
      <c r="P191" s="55"/>
      <c r="Q191" s="56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landscape" r:id="rId3"/>
  <ignoredErrors>
    <ignoredError sqref="J13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72"/>
  <sheetViews>
    <sheetView zoomScalePageLayoutView="0" workbookViewId="0" topLeftCell="A205">
      <selection activeCell="H238" sqref="H238"/>
    </sheetView>
  </sheetViews>
  <sheetFormatPr defaultColWidth="9.140625" defaultRowHeight="15"/>
  <cols>
    <col min="2" max="3" width="19.00390625" style="0" customWidth="1"/>
    <col min="4" max="4" width="19.28125" style="15" customWidth="1"/>
    <col min="5" max="5" width="20.8515625" style="20" customWidth="1"/>
    <col min="8" max="8" width="73.140625" style="0" customWidth="1"/>
  </cols>
  <sheetData>
    <row r="2" spans="2:3" ht="15">
      <c r="B2" s="12" t="s">
        <v>40</v>
      </c>
      <c r="C2" s="13">
        <v>40784</v>
      </c>
    </row>
    <row r="3" spans="2:12" s="2" customFormat="1" ht="15">
      <c r="B3" s="7" t="s">
        <v>0</v>
      </c>
      <c r="C3" s="4" t="s">
        <v>27</v>
      </c>
      <c r="D3" s="16" t="s">
        <v>34</v>
      </c>
      <c r="E3" s="21" t="s">
        <v>16</v>
      </c>
      <c r="H3" s="9" t="s">
        <v>44</v>
      </c>
      <c r="I3" s="14"/>
      <c r="J3" s="14"/>
      <c r="K3" s="14"/>
      <c r="L3" s="14"/>
    </row>
    <row r="4" spans="2:12" ht="17.25">
      <c r="B4" s="8"/>
      <c r="C4" s="5" t="s">
        <v>26</v>
      </c>
      <c r="D4" s="17" t="s">
        <v>26</v>
      </c>
      <c r="E4" s="22" t="s">
        <v>12</v>
      </c>
      <c r="H4" s="9" t="s">
        <v>37</v>
      </c>
      <c r="I4" s="14"/>
      <c r="J4" s="14"/>
      <c r="K4" s="14"/>
      <c r="L4" s="14"/>
    </row>
    <row r="5" spans="2:12" ht="15">
      <c r="B5" s="3" t="s">
        <v>19</v>
      </c>
      <c r="C5" s="3">
        <v>100</v>
      </c>
      <c r="D5" s="18">
        <v>31.1</v>
      </c>
      <c r="E5" s="23">
        <f>(D5*0.0141*35450)/C5</f>
        <v>155.451795</v>
      </c>
      <c r="H5" s="9" t="s">
        <v>38</v>
      </c>
      <c r="I5" s="14"/>
      <c r="J5" s="14"/>
      <c r="K5" s="14"/>
      <c r="L5" s="14"/>
    </row>
    <row r="6" spans="2:12" ht="15">
      <c r="B6" s="1" t="s">
        <v>20</v>
      </c>
      <c r="C6" s="3">
        <v>100</v>
      </c>
      <c r="D6" s="19">
        <v>30.6</v>
      </c>
      <c r="E6" s="23">
        <f aca="true" t="shared" si="0" ref="E6:E12">(D6*0.0141*35450)/C6</f>
        <v>152.95257</v>
      </c>
      <c r="H6" s="9"/>
      <c r="I6" s="14"/>
      <c r="J6" s="14"/>
      <c r="K6" s="14"/>
      <c r="L6" s="14"/>
    </row>
    <row r="7" spans="2:5" ht="15">
      <c r="B7" s="1" t="s">
        <v>21</v>
      </c>
      <c r="C7" s="3">
        <v>100</v>
      </c>
      <c r="D7" s="19">
        <v>32.2</v>
      </c>
      <c r="E7" s="23">
        <f t="shared" si="0"/>
        <v>160.95009000000002</v>
      </c>
    </row>
    <row r="8" spans="2:5" ht="15">
      <c r="B8" s="1" t="s">
        <v>22</v>
      </c>
      <c r="C8" s="3">
        <v>100</v>
      </c>
      <c r="D8" s="19">
        <v>29.8</v>
      </c>
      <c r="E8" s="23">
        <f t="shared" si="0"/>
        <v>148.95381</v>
      </c>
    </row>
    <row r="9" spans="2:5" ht="15">
      <c r="B9" s="1" t="s">
        <v>1</v>
      </c>
      <c r="C9" s="3">
        <v>100</v>
      </c>
      <c r="D9" s="19">
        <v>25.1</v>
      </c>
      <c r="E9" s="23">
        <f t="shared" si="0"/>
        <v>125.461095</v>
      </c>
    </row>
    <row r="10" spans="2:8" ht="15">
      <c r="B10" s="1" t="s">
        <v>2</v>
      </c>
      <c r="C10" s="3">
        <v>100</v>
      </c>
      <c r="D10" s="19">
        <v>33</v>
      </c>
      <c r="E10" s="23">
        <f t="shared" si="0"/>
        <v>164.94885</v>
      </c>
      <c r="H10" t="s">
        <v>32</v>
      </c>
    </row>
    <row r="11" spans="2:8" ht="15">
      <c r="B11" s="1" t="s">
        <v>3</v>
      </c>
      <c r="C11" s="3">
        <v>100</v>
      </c>
      <c r="D11" s="19">
        <v>21.4</v>
      </c>
      <c r="E11" s="23">
        <f t="shared" si="0"/>
        <v>106.96682999999999</v>
      </c>
      <c r="H11" t="s">
        <v>31</v>
      </c>
    </row>
    <row r="12" spans="2:8" ht="15">
      <c r="B12" s="1" t="s">
        <v>4</v>
      </c>
      <c r="C12" s="3">
        <v>100</v>
      </c>
      <c r="D12" s="19">
        <v>20.4</v>
      </c>
      <c r="E12" s="23">
        <f t="shared" si="0"/>
        <v>101.96837999999998</v>
      </c>
      <c r="H12" t="s">
        <v>28</v>
      </c>
    </row>
    <row r="13" ht="15">
      <c r="H13" t="s">
        <v>29</v>
      </c>
    </row>
    <row r="14" ht="15">
      <c r="H14" t="s">
        <v>30</v>
      </c>
    </row>
    <row r="15" spans="2:3" ht="15">
      <c r="B15" s="12" t="s">
        <v>40</v>
      </c>
      <c r="C15" s="13">
        <v>40805</v>
      </c>
    </row>
    <row r="16" spans="2:8" ht="15">
      <c r="B16" s="7" t="s">
        <v>0</v>
      </c>
      <c r="C16" s="4" t="s">
        <v>27</v>
      </c>
      <c r="D16" s="16" t="s">
        <v>34</v>
      </c>
      <c r="E16" s="21" t="s">
        <v>16</v>
      </c>
      <c r="H16" t="s">
        <v>33</v>
      </c>
    </row>
    <row r="17" spans="2:5" ht="17.25">
      <c r="B17" s="8"/>
      <c r="C17" s="5" t="s">
        <v>26</v>
      </c>
      <c r="D17" s="17" t="s">
        <v>26</v>
      </c>
      <c r="E17" s="22" t="s">
        <v>12</v>
      </c>
    </row>
    <row r="18" spans="2:5" ht="15">
      <c r="B18" s="3" t="s">
        <v>19</v>
      </c>
      <c r="C18" s="3">
        <v>50</v>
      </c>
      <c r="D18" s="18">
        <v>17.6</v>
      </c>
      <c r="E18" s="23">
        <f>(D18*0.0141*35450)/C18</f>
        <v>175.94544000000002</v>
      </c>
    </row>
    <row r="19" spans="2:5" ht="15">
      <c r="B19" s="1" t="s">
        <v>20</v>
      </c>
      <c r="C19" s="3">
        <v>50</v>
      </c>
      <c r="D19" s="19">
        <v>14.4</v>
      </c>
      <c r="E19" s="23">
        <f aca="true" t="shared" si="1" ref="E19:E25">(D19*0.0141*35450)/C19</f>
        <v>143.95536</v>
      </c>
    </row>
    <row r="20" spans="2:5" ht="15">
      <c r="B20" s="1" t="s">
        <v>21</v>
      </c>
      <c r="C20" s="3">
        <v>50</v>
      </c>
      <c r="D20" s="19">
        <v>25.2</v>
      </c>
      <c r="E20" s="23">
        <f t="shared" si="1"/>
        <v>251.92188</v>
      </c>
    </row>
    <row r="21" spans="2:5" ht="15">
      <c r="B21" s="1" t="s">
        <v>22</v>
      </c>
      <c r="C21" s="3">
        <v>50</v>
      </c>
      <c r="D21" s="19">
        <v>20.8</v>
      </c>
      <c r="E21" s="23">
        <f t="shared" si="1"/>
        <v>207.93552</v>
      </c>
    </row>
    <row r="22" spans="2:5" ht="15">
      <c r="B22" s="1" t="s">
        <v>1</v>
      </c>
      <c r="C22" s="3">
        <v>50</v>
      </c>
      <c r="D22" s="19">
        <v>14.7</v>
      </c>
      <c r="E22" s="23">
        <f t="shared" si="1"/>
        <v>146.95443</v>
      </c>
    </row>
    <row r="23" spans="2:5" ht="15">
      <c r="B23" s="1" t="s">
        <v>2</v>
      </c>
      <c r="C23" s="3">
        <v>50</v>
      </c>
      <c r="D23" s="19">
        <v>17.4</v>
      </c>
      <c r="E23" s="23">
        <f t="shared" si="1"/>
        <v>173.94606</v>
      </c>
    </row>
    <row r="24" spans="2:5" ht="15">
      <c r="B24" s="1" t="s">
        <v>3</v>
      </c>
      <c r="C24" s="3">
        <v>50</v>
      </c>
      <c r="D24" s="19">
        <v>12.6</v>
      </c>
      <c r="E24" s="23">
        <f t="shared" si="1"/>
        <v>125.96094</v>
      </c>
    </row>
    <row r="25" spans="2:5" ht="15">
      <c r="B25" s="1" t="s">
        <v>4</v>
      </c>
      <c r="C25" s="3">
        <v>50</v>
      </c>
      <c r="D25" s="19">
        <v>10.7</v>
      </c>
      <c r="E25" s="23">
        <f t="shared" si="1"/>
        <v>106.96682999999999</v>
      </c>
    </row>
    <row r="28" spans="2:3" ht="15">
      <c r="B28" s="12" t="s">
        <v>40</v>
      </c>
      <c r="C28" s="13">
        <v>40833</v>
      </c>
    </row>
    <row r="29" spans="2:5" ht="15">
      <c r="B29" s="7" t="s">
        <v>0</v>
      </c>
      <c r="C29" s="4" t="s">
        <v>27</v>
      </c>
      <c r="D29" s="16" t="s">
        <v>34</v>
      </c>
      <c r="E29" s="21" t="s">
        <v>16</v>
      </c>
    </row>
    <row r="30" spans="2:5" ht="17.25">
      <c r="B30" s="8"/>
      <c r="C30" s="5" t="s">
        <v>26</v>
      </c>
      <c r="D30" s="17" t="s">
        <v>26</v>
      </c>
      <c r="E30" s="22" t="s">
        <v>12</v>
      </c>
    </row>
    <row r="31" spans="2:5" ht="15">
      <c r="B31" s="3" t="s">
        <v>19</v>
      </c>
      <c r="C31" s="3">
        <v>50</v>
      </c>
      <c r="D31" s="18">
        <f>16.3-1.4</f>
        <v>14.9</v>
      </c>
      <c r="E31" s="23">
        <f>(D31*0.0141*35450)/C31</f>
        <v>148.95381</v>
      </c>
    </row>
    <row r="32" spans="2:5" ht="15">
      <c r="B32" s="1" t="s">
        <v>20</v>
      </c>
      <c r="C32" s="3">
        <v>50</v>
      </c>
      <c r="D32" s="18">
        <f>16.3-1.1</f>
        <v>15.200000000000001</v>
      </c>
      <c r="E32" s="23">
        <f aca="true" t="shared" si="2" ref="E32:E38">(D32*0.0141*35450)/C32</f>
        <v>151.95288</v>
      </c>
    </row>
    <row r="33" spans="2:5" ht="15">
      <c r="B33" s="1" t="s">
        <v>21</v>
      </c>
      <c r="C33" s="3">
        <v>50</v>
      </c>
      <c r="D33" s="18">
        <f>16-2.4</f>
        <v>13.6</v>
      </c>
      <c r="E33" s="23">
        <f t="shared" si="2"/>
        <v>135.95784</v>
      </c>
    </row>
    <row r="34" spans="2:5" ht="15">
      <c r="B34" s="1" t="s">
        <v>22</v>
      </c>
      <c r="C34" s="3">
        <v>50</v>
      </c>
      <c r="D34" s="18">
        <f>14.5-0.6</f>
        <v>13.9</v>
      </c>
      <c r="E34" s="23">
        <f t="shared" si="2"/>
        <v>138.95691</v>
      </c>
    </row>
    <row r="35" spans="2:5" ht="15">
      <c r="B35" s="1" t="s">
        <v>1</v>
      </c>
      <c r="C35" s="3">
        <v>50</v>
      </c>
      <c r="D35" s="18">
        <f>13.8-0.7</f>
        <v>13.100000000000001</v>
      </c>
      <c r="E35" s="23">
        <f t="shared" si="2"/>
        <v>130.95939</v>
      </c>
    </row>
    <row r="36" spans="2:5" ht="15">
      <c r="B36" s="1" t="s">
        <v>2</v>
      </c>
      <c r="C36" s="3">
        <v>50</v>
      </c>
      <c r="D36" s="18">
        <f>16.1-0.4</f>
        <v>15.700000000000001</v>
      </c>
      <c r="E36" s="23">
        <f t="shared" si="2"/>
        <v>156.95133</v>
      </c>
    </row>
    <row r="37" spans="2:5" ht="15">
      <c r="B37" s="1" t="s">
        <v>3</v>
      </c>
      <c r="C37" s="3">
        <v>50</v>
      </c>
      <c r="D37" s="18">
        <f>20.2-8.6</f>
        <v>11.6</v>
      </c>
      <c r="E37" s="23">
        <f t="shared" si="2"/>
        <v>115.96403999999998</v>
      </c>
    </row>
    <row r="38" spans="2:5" ht="15">
      <c r="B38" s="1" t="s">
        <v>4</v>
      </c>
      <c r="C38" s="3">
        <v>50</v>
      </c>
      <c r="D38" s="18">
        <f>11.1-0.8</f>
        <v>10.299999999999999</v>
      </c>
      <c r="E38" s="23">
        <f t="shared" si="2"/>
        <v>102.96806999999997</v>
      </c>
    </row>
    <row r="41" spans="2:3" ht="15">
      <c r="B41" s="12" t="s">
        <v>40</v>
      </c>
      <c r="C41" s="35">
        <v>40861</v>
      </c>
    </row>
    <row r="42" spans="2:5" ht="15">
      <c r="B42" s="7" t="s">
        <v>0</v>
      </c>
      <c r="C42" s="4" t="s">
        <v>27</v>
      </c>
      <c r="D42" s="16" t="s">
        <v>34</v>
      </c>
      <c r="E42" s="21" t="s">
        <v>16</v>
      </c>
    </row>
    <row r="43" spans="2:5" ht="17.25">
      <c r="B43" s="8"/>
      <c r="C43" s="5" t="s">
        <v>26</v>
      </c>
      <c r="D43" s="17" t="s">
        <v>26</v>
      </c>
      <c r="E43" s="22" t="s">
        <v>12</v>
      </c>
    </row>
    <row r="44" spans="2:5" ht="15">
      <c r="B44" s="3" t="s">
        <v>19</v>
      </c>
      <c r="C44" s="3">
        <v>50</v>
      </c>
      <c r="D44" s="18">
        <f>17.3-6.5</f>
        <v>10.8</v>
      </c>
      <c r="E44" s="23">
        <f>(D44*0.0141*35450)/C44</f>
        <v>107.96652</v>
      </c>
    </row>
    <row r="45" spans="2:5" ht="15">
      <c r="B45" s="1" t="s">
        <v>20</v>
      </c>
      <c r="C45" s="3">
        <v>50</v>
      </c>
      <c r="D45" s="18">
        <f>16.5-1.9</f>
        <v>14.6</v>
      </c>
      <c r="E45" s="23">
        <f aca="true" t="shared" si="3" ref="E45:E51">(D45*0.0141*35450)/C45</f>
        <v>145.95474</v>
      </c>
    </row>
    <row r="46" spans="2:5" ht="15">
      <c r="B46" s="1" t="s">
        <v>21</v>
      </c>
      <c r="C46" s="3">
        <v>50</v>
      </c>
      <c r="D46" s="18">
        <f>39.8-28.6</f>
        <v>11.199999999999996</v>
      </c>
      <c r="E46" s="23">
        <f t="shared" si="3"/>
        <v>111.96527999999996</v>
      </c>
    </row>
    <row r="47" spans="2:5" ht="15">
      <c r="B47" s="1" t="s">
        <v>22</v>
      </c>
      <c r="C47" s="3">
        <v>50</v>
      </c>
      <c r="D47" s="18">
        <f>38.1-27.9</f>
        <v>10.200000000000003</v>
      </c>
      <c r="E47" s="23">
        <f t="shared" si="3"/>
        <v>101.96838000000001</v>
      </c>
    </row>
    <row r="48" spans="2:5" ht="15">
      <c r="B48" s="1" t="s">
        <v>1</v>
      </c>
      <c r="C48" s="3">
        <v>50</v>
      </c>
      <c r="D48" s="18">
        <f>42.6-30.2</f>
        <v>12.400000000000002</v>
      </c>
      <c r="E48" s="23">
        <f t="shared" si="3"/>
        <v>123.96156</v>
      </c>
    </row>
    <row r="49" spans="2:5" ht="15">
      <c r="B49" s="1" t="s">
        <v>2</v>
      </c>
      <c r="C49" s="3">
        <v>50</v>
      </c>
      <c r="D49" s="18">
        <f>29.4-17.9</f>
        <v>11.5</v>
      </c>
      <c r="E49" s="23">
        <f t="shared" si="3"/>
        <v>114.96435</v>
      </c>
    </row>
    <row r="50" spans="2:5" ht="15">
      <c r="B50" s="1" t="s">
        <v>3</v>
      </c>
      <c r="C50" s="3">
        <v>50</v>
      </c>
      <c r="D50" s="18">
        <f>27.9-17.2</f>
        <v>10.7</v>
      </c>
      <c r="E50" s="23">
        <f t="shared" si="3"/>
        <v>106.96682999999999</v>
      </c>
    </row>
    <row r="51" spans="2:5" ht="15">
      <c r="B51" s="1" t="s">
        <v>4</v>
      </c>
      <c r="C51" s="3">
        <v>50</v>
      </c>
      <c r="D51" s="18">
        <f>28.4-20.6</f>
        <v>7.799999999999997</v>
      </c>
      <c r="E51" s="23">
        <f t="shared" si="3"/>
        <v>77.97581999999997</v>
      </c>
    </row>
    <row r="54" spans="2:3" ht="15">
      <c r="B54" s="12" t="s">
        <v>40</v>
      </c>
      <c r="C54" s="35">
        <v>40896</v>
      </c>
    </row>
    <row r="55" spans="2:5" ht="15">
      <c r="B55" s="7" t="s">
        <v>0</v>
      </c>
      <c r="C55" s="4" t="s">
        <v>27</v>
      </c>
      <c r="D55" s="16" t="s">
        <v>34</v>
      </c>
      <c r="E55" s="21" t="s">
        <v>16</v>
      </c>
    </row>
    <row r="56" spans="2:5" ht="17.25">
      <c r="B56" s="8"/>
      <c r="C56" s="5" t="s">
        <v>26</v>
      </c>
      <c r="D56" s="17" t="s">
        <v>26</v>
      </c>
      <c r="E56" s="22" t="s">
        <v>12</v>
      </c>
    </row>
    <row r="57" spans="2:5" ht="15">
      <c r="B57" s="3" t="s">
        <v>19</v>
      </c>
      <c r="C57" s="3">
        <v>50</v>
      </c>
      <c r="D57" s="18">
        <f>13.6-2.1</f>
        <v>11.5</v>
      </c>
      <c r="E57" s="23">
        <f>(D57*0.0141*35450)/C57</f>
        <v>114.96435</v>
      </c>
    </row>
    <row r="58" spans="2:5" ht="15">
      <c r="B58" s="1" t="s">
        <v>20</v>
      </c>
      <c r="C58" s="3">
        <v>50</v>
      </c>
      <c r="D58" s="18">
        <v>14.8</v>
      </c>
      <c r="E58" s="23">
        <f aca="true" t="shared" si="4" ref="E58:E64">(D58*0.0141*35450)/C58</f>
        <v>147.95412</v>
      </c>
    </row>
    <row r="59" spans="2:5" ht="15">
      <c r="B59" s="1" t="s">
        <v>21</v>
      </c>
      <c r="C59" s="3">
        <v>50</v>
      </c>
      <c r="D59" s="18">
        <f>45.2-35.2</f>
        <v>10</v>
      </c>
      <c r="E59" s="23">
        <f t="shared" si="4"/>
        <v>99.969</v>
      </c>
    </row>
    <row r="60" spans="2:5" ht="15">
      <c r="B60" s="1" t="s">
        <v>22</v>
      </c>
      <c r="C60" s="3">
        <v>50</v>
      </c>
      <c r="D60" s="18">
        <f>35.2-25.4</f>
        <v>9.800000000000004</v>
      </c>
      <c r="E60" s="23">
        <f t="shared" si="4"/>
        <v>97.96962000000003</v>
      </c>
    </row>
    <row r="61" spans="2:5" ht="15">
      <c r="B61" s="1" t="s">
        <v>1</v>
      </c>
      <c r="C61" s="3">
        <v>50</v>
      </c>
      <c r="D61" s="18">
        <f>36.8-28</f>
        <v>8.799999999999997</v>
      </c>
      <c r="E61" s="23">
        <f t="shared" si="4"/>
        <v>87.97271999999997</v>
      </c>
    </row>
    <row r="62" spans="2:5" ht="15">
      <c r="B62" s="1" t="s">
        <v>2</v>
      </c>
      <c r="C62" s="3">
        <v>50</v>
      </c>
      <c r="D62" s="18">
        <f>25.4-13.6</f>
        <v>11.799999999999999</v>
      </c>
      <c r="E62" s="23">
        <f t="shared" si="4"/>
        <v>117.96341999999999</v>
      </c>
    </row>
    <row r="63" spans="2:5" ht="15">
      <c r="B63" s="1" t="s">
        <v>3</v>
      </c>
      <c r="C63" s="3">
        <v>50</v>
      </c>
      <c r="D63" s="18">
        <f>45.2-36.8</f>
        <v>8.400000000000006</v>
      </c>
      <c r="E63" s="23">
        <f t="shared" si="4"/>
        <v>83.97396000000005</v>
      </c>
    </row>
    <row r="64" spans="2:5" ht="15">
      <c r="B64" s="1" t="s">
        <v>4</v>
      </c>
      <c r="C64" s="3">
        <v>50</v>
      </c>
      <c r="D64" s="18">
        <v>7.4</v>
      </c>
      <c r="E64" s="23">
        <f t="shared" si="4"/>
        <v>73.97706</v>
      </c>
    </row>
    <row r="67" spans="2:3" ht="15">
      <c r="B67" s="12" t="s">
        <v>40</v>
      </c>
      <c r="C67" s="35">
        <v>40917</v>
      </c>
    </row>
    <row r="68" spans="2:5" ht="15">
      <c r="B68" s="7" t="s">
        <v>0</v>
      </c>
      <c r="C68" s="4" t="s">
        <v>27</v>
      </c>
      <c r="D68" s="16" t="s">
        <v>34</v>
      </c>
      <c r="E68" s="21" t="s">
        <v>16</v>
      </c>
    </row>
    <row r="69" spans="2:5" ht="17.25">
      <c r="B69" s="8"/>
      <c r="C69" s="5" t="s">
        <v>26</v>
      </c>
      <c r="D69" s="17" t="s">
        <v>26</v>
      </c>
      <c r="E69" s="22" t="s">
        <v>12</v>
      </c>
    </row>
    <row r="70" spans="2:5" ht="15">
      <c r="B70" s="3" t="s">
        <v>19</v>
      </c>
      <c r="C70" s="3">
        <v>50</v>
      </c>
      <c r="D70" s="18">
        <f>17.2-2.3</f>
        <v>14.899999999999999</v>
      </c>
      <c r="E70" s="23">
        <f>(D70*0.0141*35450)/C70</f>
        <v>148.95380999999998</v>
      </c>
    </row>
    <row r="71" spans="2:5" ht="15">
      <c r="B71" s="1" t="s">
        <v>20</v>
      </c>
      <c r="C71" s="3">
        <v>50</v>
      </c>
      <c r="D71" s="18">
        <f>17-1.6</f>
        <v>15.4</v>
      </c>
      <c r="E71" s="23">
        <f aca="true" t="shared" si="5" ref="E71:E77">(D71*0.0141*35450)/C71</f>
        <v>153.95226</v>
      </c>
    </row>
    <row r="72" spans="2:5" ht="15">
      <c r="B72" s="1" t="s">
        <v>21</v>
      </c>
      <c r="C72" s="3">
        <v>50</v>
      </c>
      <c r="D72" s="18">
        <f>40.9-29.2</f>
        <v>11.7</v>
      </c>
      <c r="E72" s="23">
        <f t="shared" si="5"/>
        <v>116.96372999999998</v>
      </c>
    </row>
    <row r="73" spans="2:5" ht="15">
      <c r="B73" s="1" t="s">
        <v>22</v>
      </c>
      <c r="C73" s="3">
        <v>50</v>
      </c>
      <c r="D73" s="18">
        <f>40.2-28.9</f>
        <v>11.300000000000004</v>
      </c>
      <c r="E73" s="23">
        <f t="shared" si="5"/>
        <v>112.96497000000004</v>
      </c>
    </row>
    <row r="74" spans="2:5" ht="15">
      <c r="B74" s="1" t="s">
        <v>1</v>
      </c>
      <c r="C74" s="3">
        <v>50</v>
      </c>
      <c r="D74" s="18">
        <f>28.9-17.2</f>
        <v>11.7</v>
      </c>
      <c r="E74" s="23">
        <f t="shared" si="5"/>
        <v>116.96372999999998</v>
      </c>
    </row>
    <row r="75" spans="2:5" ht="15">
      <c r="B75" s="1" t="s">
        <v>2</v>
      </c>
      <c r="C75" s="3">
        <v>50</v>
      </c>
      <c r="D75" s="18">
        <f>41.1-26.7</f>
        <v>14.400000000000002</v>
      </c>
      <c r="E75" s="23">
        <f t="shared" si="5"/>
        <v>143.95536</v>
      </c>
    </row>
    <row r="76" spans="2:5" ht="15">
      <c r="B76" s="1" t="s">
        <v>3</v>
      </c>
      <c r="C76" s="3">
        <v>50</v>
      </c>
      <c r="D76" s="18">
        <f>26.1-17</f>
        <v>9.100000000000001</v>
      </c>
      <c r="E76" s="23">
        <f t="shared" si="5"/>
        <v>90.97179</v>
      </c>
    </row>
    <row r="77" spans="2:5" ht="15">
      <c r="B77" s="1" t="s">
        <v>4</v>
      </c>
      <c r="C77" s="3">
        <v>50</v>
      </c>
      <c r="D77" s="18">
        <f>29.3-20.5</f>
        <v>8.8</v>
      </c>
      <c r="E77" s="23">
        <f t="shared" si="5"/>
        <v>87.97272000000001</v>
      </c>
    </row>
    <row r="78" spans="2:5" ht="15">
      <c r="B78" s="36"/>
      <c r="C78" s="36"/>
      <c r="D78" s="37"/>
      <c r="E78" s="38"/>
    </row>
    <row r="80" spans="2:3" ht="15">
      <c r="B80" s="12" t="s">
        <v>40</v>
      </c>
      <c r="C80" s="35">
        <v>40959</v>
      </c>
    </row>
    <row r="81" spans="2:5" ht="15">
      <c r="B81" s="7" t="s">
        <v>0</v>
      </c>
      <c r="C81" s="4" t="s">
        <v>27</v>
      </c>
      <c r="D81" s="16" t="s">
        <v>34</v>
      </c>
      <c r="E81" s="21" t="s">
        <v>16</v>
      </c>
    </row>
    <row r="82" spans="2:5" ht="17.25">
      <c r="B82" s="8"/>
      <c r="C82" s="5" t="s">
        <v>26</v>
      </c>
      <c r="D82" s="17" t="s">
        <v>26</v>
      </c>
      <c r="E82" s="22" t="s">
        <v>12</v>
      </c>
    </row>
    <row r="83" spans="2:5" ht="15">
      <c r="B83" s="3" t="s">
        <v>19</v>
      </c>
      <c r="C83" s="3">
        <v>50</v>
      </c>
      <c r="D83" s="18">
        <v>15.5</v>
      </c>
      <c r="E83" s="23">
        <f>(D83*0.0141*35450)/C83</f>
        <v>154.95195</v>
      </c>
    </row>
    <row r="84" spans="2:5" ht="15">
      <c r="B84" s="1" t="s">
        <v>20</v>
      </c>
      <c r="C84" s="3">
        <v>50</v>
      </c>
      <c r="D84" s="18">
        <v>17.1</v>
      </c>
      <c r="E84" s="23">
        <f aca="true" t="shared" si="6" ref="E84:E90">(D84*0.0141*35450)/C84</f>
        <v>170.94699</v>
      </c>
    </row>
    <row r="85" spans="2:5" ht="15">
      <c r="B85" s="1" t="s">
        <v>21</v>
      </c>
      <c r="C85" s="3">
        <v>50</v>
      </c>
      <c r="D85" s="18">
        <v>14.5</v>
      </c>
      <c r="E85" s="23">
        <f t="shared" si="6"/>
        <v>144.95505</v>
      </c>
    </row>
    <row r="86" spans="2:5" ht="15">
      <c r="B86" s="1" t="s">
        <v>22</v>
      </c>
      <c r="C86" s="3">
        <v>50</v>
      </c>
      <c r="D86" s="18">
        <v>12.9</v>
      </c>
      <c r="E86" s="23">
        <f t="shared" si="6"/>
        <v>128.96001</v>
      </c>
    </row>
    <row r="87" spans="2:5" ht="15">
      <c r="B87" s="1" t="s">
        <v>1</v>
      </c>
      <c r="C87" s="3">
        <v>50</v>
      </c>
      <c r="D87" s="18">
        <v>12.7</v>
      </c>
      <c r="E87" s="23">
        <f t="shared" si="6"/>
        <v>126.96062999999998</v>
      </c>
    </row>
    <row r="88" spans="2:5" ht="15">
      <c r="B88" s="1" t="s">
        <v>2</v>
      </c>
      <c r="C88" s="3">
        <v>50</v>
      </c>
      <c r="D88" s="18">
        <v>17.3</v>
      </c>
      <c r="E88" s="23">
        <f t="shared" si="6"/>
        <v>172.94637</v>
      </c>
    </row>
    <row r="89" spans="2:5" ht="15">
      <c r="B89" s="1" t="s">
        <v>3</v>
      </c>
      <c r="C89" s="3">
        <v>50</v>
      </c>
      <c r="D89" s="18">
        <v>10.4</v>
      </c>
      <c r="E89" s="23">
        <f t="shared" si="6"/>
        <v>103.96776</v>
      </c>
    </row>
    <row r="90" spans="2:5" ht="15">
      <c r="B90" s="1" t="s">
        <v>4</v>
      </c>
      <c r="C90" s="3">
        <v>50</v>
      </c>
      <c r="D90" s="18">
        <v>9</v>
      </c>
      <c r="E90" s="23">
        <f t="shared" si="6"/>
        <v>89.9721</v>
      </c>
    </row>
    <row r="93" spans="2:3" ht="15">
      <c r="B93" s="12" t="s">
        <v>40</v>
      </c>
      <c r="C93" s="35">
        <v>40987</v>
      </c>
    </row>
    <row r="94" spans="2:5" ht="15">
      <c r="B94" s="7" t="s">
        <v>0</v>
      </c>
      <c r="C94" s="4" t="s">
        <v>27</v>
      </c>
      <c r="D94" s="16" t="s">
        <v>34</v>
      </c>
      <c r="E94" s="21" t="s">
        <v>16</v>
      </c>
    </row>
    <row r="95" spans="2:5" ht="17.25">
      <c r="B95" s="8"/>
      <c r="C95" s="5" t="s">
        <v>26</v>
      </c>
      <c r="D95" s="17" t="s">
        <v>26</v>
      </c>
      <c r="E95" s="22" t="s">
        <v>12</v>
      </c>
    </row>
    <row r="96" spans="2:5" ht="15">
      <c r="B96" s="3" t="s">
        <v>19</v>
      </c>
      <c r="C96" s="3">
        <v>50</v>
      </c>
      <c r="D96" s="18">
        <f>36.8-20.4</f>
        <v>16.4</v>
      </c>
      <c r="E96" s="23">
        <f>(D96*0.0141*35450)/C96</f>
        <v>163.94915999999998</v>
      </c>
    </row>
    <row r="97" spans="2:5" ht="15">
      <c r="B97" s="1" t="s">
        <v>20</v>
      </c>
      <c r="C97" s="3">
        <v>50</v>
      </c>
      <c r="D97" s="18">
        <f>18.2-1.4</f>
        <v>16.8</v>
      </c>
      <c r="E97" s="23">
        <f aca="true" t="shared" si="7" ref="E97:E103">(D97*0.0141*35450)/C97</f>
        <v>167.94792</v>
      </c>
    </row>
    <row r="98" spans="2:5" ht="15">
      <c r="B98" s="1" t="s">
        <v>21</v>
      </c>
      <c r="C98" s="3">
        <v>50</v>
      </c>
      <c r="D98" s="18">
        <f>45.8-29.7</f>
        <v>16.099999999999998</v>
      </c>
      <c r="E98" s="23">
        <f t="shared" si="7"/>
        <v>160.95009</v>
      </c>
    </row>
    <row r="99" spans="2:5" ht="15">
      <c r="B99" s="1" t="s">
        <v>22</v>
      </c>
      <c r="C99" s="3">
        <v>50</v>
      </c>
      <c r="D99" s="18">
        <f>41.7-28.3</f>
        <v>13.400000000000002</v>
      </c>
      <c r="E99" s="23">
        <f t="shared" si="7"/>
        <v>133.95846</v>
      </c>
    </row>
    <row r="100" spans="2:5" ht="15">
      <c r="B100" s="1" t="s">
        <v>1</v>
      </c>
      <c r="C100" s="3">
        <v>50</v>
      </c>
      <c r="D100" s="18">
        <f>29.7-13.6</f>
        <v>16.1</v>
      </c>
      <c r="E100" s="23">
        <f t="shared" si="7"/>
        <v>160.95009000000002</v>
      </c>
    </row>
    <row r="101" spans="2:5" ht="15">
      <c r="B101" s="1" t="s">
        <v>2</v>
      </c>
      <c r="C101" s="3">
        <v>50</v>
      </c>
      <c r="D101" s="18">
        <f>28.3-10.1</f>
        <v>18.200000000000003</v>
      </c>
      <c r="E101" s="23">
        <f t="shared" si="7"/>
        <v>181.94358</v>
      </c>
    </row>
    <row r="102" spans="2:5" ht="15">
      <c r="B102" s="1" t="s">
        <v>3</v>
      </c>
      <c r="C102" s="3">
        <v>50</v>
      </c>
      <c r="D102" s="18">
        <f>20.4-10</f>
        <v>10.399999999999999</v>
      </c>
      <c r="E102" s="23">
        <f t="shared" si="7"/>
        <v>103.96775999999998</v>
      </c>
    </row>
    <row r="103" spans="2:5" ht="15">
      <c r="B103" s="1" t="s">
        <v>4</v>
      </c>
      <c r="C103" s="3">
        <v>50</v>
      </c>
      <c r="D103" s="18">
        <f>27.4-18.2</f>
        <v>9.2</v>
      </c>
      <c r="E103" s="23">
        <f t="shared" si="7"/>
        <v>91.97147999999997</v>
      </c>
    </row>
    <row r="106" spans="2:3" ht="15">
      <c r="B106" s="12" t="s">
        <v>40</v>
      </c>
      <c r="C106" s="35">
        <v>41015</v>
      </c>
    </row>
    <row r="107" spans="2:5" ht="15">
      <c r="B107" s="7" t="s">
        <v>0</v>
      </c>
      <c r="C107" s="4" t="s">
        <v>27</v>
      </c>
      <c r="D107" s="16" t="s">
        <v>34</v>
      </c>
      <c r="E107" s="21" t="s">
        <v>16</v>
      </c>
    </row>
    <row r="108" spans="2:5" ht="17.25">
      <c r="B108" s="8"/>
      <c r="C108" s="5" t="s">
        <v>26</v>
      </c>
      <c r="D108" s="17" t="s">
        <v>26</v>
      </c>
      <c r="E108" s="22" t="s">
        <v>12</v>
      </c>
    </row>
    <row r="109" spans="2:5" ht="15">
      <c r="B109" s="3" t="s">
        <v>19</v>
      </c>
      <c r="C109" s="3">
        <v>50</v>
      </c>
      <c r="D109" s="18">
        <v>15.2</v>
      </c>
      <c r="E109" s="23">
        <f>(D109*0.0141*35450)/C109</f>
        <v>151.95288</v>
      </c>
    </row>
    <row r="110" spans="2:5" ht="15">
      <c r="B110" s="1" t="s">
        <v>20</v>
      </c>
      <c r="C110" s="3">
        <v>50</v>
      </c>
      <c r="D110" s="18">
        <v>16.4</v>
      </c>
      <c r="E110" s="23">
        <f aca="true" t="shared" si="8" ref="E110:E116">(D110*0.0141*35450)/C110</f>
        <v>163.94915999999998</v>
      </c>
    </row>
    <row r="111" spans="2:5" ht="15">
      <c r="B111" s="1" t="s">
        <v>21</v>
      </c>
      <c r="C111" s="3">
        <v>50</v>
      </c>
      <c r="D111" s="18">
        <v>14.5</v>
      </c>
      <c r="E111" s="23">
        <f t="shared" si="8"/>
        <v>144.95505</v>
      </c>
    </row>
    <row r="112" spans="2:5" ht="15">
      <c r="B112" s="1" t="s">
        <v>22</v>
      </c>
      <c r="C112" s="3">
        <v>50</v>
      </c>
      <c r="D112" s="18">
        <v>11.9</v>
      </c>
      <c r="E112" s="23">
        <f t="shared" si="8"/>
        <v>118.96311</v>
      </c>
    </row>
    <row r="113" spans="2:5" ht="15">
      <c r="B113" s="1" t="s">
        <v>1</v>
      </c>
      <c r="C113" s="3">
        <v>50</v>
      </c>
      <c r="D113" s="18">
        <v>11.4</v>
      </c>
      <c r="E113" s="23">
        <f t="shared" si="8"/>
        <v>113.96466000000001</v>
      </c>
    </row>
    <row r="114" spans="2:5" ht="15">
      <c r="B114" s="1" t="s">
        <v>2</v>
      </c>
      <c r="C114" s="3">
        <v>50</v>
      </c>
      <c r="D114" s="18">
        <v>16.2</v>
      </c>
      <c r="E114" s="23">
        <f t="shared" si="8"/>
        <v>161.94978</v>
      </c>
    </row>
    <row r="115" spans="2:5" ht="15">
      <c r="B115" s="1" t="s">
        <v>3</v>
      </c>
      <c r="C115" s="3">
        <v>50</v>
      </c>
      <c r="D115" s="18">
        <v>10.6</v>
      </c>
      <c r="E115" s="23">
        <f t="shared" si="8"/>
        <v>105.96713999999999</v>
      </c>
    </row>
    <row r="116" spans="2:5" ht="15">
      <c r="B116" s="1" t="s">
        <v>4</v>
      </c>
      <c r="C116" s="3">
        <v>50</v>
      </c>
      <c r="D116" s="18">
        <v>8.8</v>
      </c>
      <c r="E116" s="23">
        <f t="shared" si="8"/>
        <v>87.97272000000001</v>
      </c>
    </row>
    <row r="119" spans="2:3" ht="15">
      <c r="B119" s="12" t="s">
        <v>40</v>
      </c>
      <c r="C119" s="35">
        <v>41050</v>
      </c>
    </row>
    <row r="120" spans="2:5" ht="15">
      <c r="B120" s="7" t="s">
        <v>0</v>
      </c>
      <c r="C120" s="4" t="s">
        <v>27</v>
      </c>
      <c r="D120" s="16" t="s">
        <v>34</v>
      </c>
      <c r="E120" s="21" t="s">
        <v>16</v>
      </c>
    </row>
    <row r="121" spans="2:5" ht="17.25">
      <c r="B121" s="8"/>
      <c r="C121" s="5" t="s">
        <v>26</v>
      </c>
      <c r="D121" s="17" t="s">
        <v>26</v>
      </c>
      <c r="E121" s="22" t="s">
        <v>12</v>
      </c>
    </row>
    <row r="122" spans="2:5" ht="15">
      <c r="B122" s="3" t="s">
        <v>19</v>
      </c>
      <c r="C122" s="3">
        <v>50</v>
      </c>
      <c r="D122" s="18">
        <f>33.2-16.6</f>
        <v>16.6</v>
      </c>
      <c r="E122" s="23">
        <f>(D122*0.0141*35450)/C122</f>
        <v>165.94854000000004</v>
      </c>
    </row>
    <row r="123" spans="2:5" ht="15">
      <c r="B123" s="1" t="s">
        <v>20</v>
      </c>
      <c r="C123" s="3">
        <v>50</v>
      </c>
      <c r="D123" s="18">
        <f>49.8-33.7</f>
        <v>16.099999999999994</v>
      </c>
      <c r="E123" s="23">
        <f aca="true" t="shared" si="9" ref="E123:E129">(D123*0.0141*35450)/C123</f>
        <v>160.95008999999993</v>
      </c>
    </row>
    <row r="124" spans="2:5" ht="15">
      <c r="B124" s="1" t="s">
        <v>21</v>
      </c>
      <c r="C124" s="3">
        <v>50</v>
      </c>
      <c r="D124" s="18">
        <f>17.5-0.9</f>
        <v>16.6</v>
      </c>
      <c r="E124" s="23">
        <f t="shared" si="9"/>
        <v>165.94854000000004</v>
      </c>
    </row>
    <row r="125" spans="2:5" ht="15">
      <c r="B125" s="1" t="s">
        <v>22</v>
      </c>
      <c r="C125" s="3">
        <v>50</v>
      </c>
      <c r="D125" s="18">
        <f>16.6-0.8</f>
        <v>15.8</v>
      </c>
      <c r="E125" s="23">
        <f t="shared" si="9"/>
        <v>157.95102</v>
      </c>
    </row>
    <row r="126" spans="2:5" ht="15">
      <c r="B126" s="1" t="s">
        <v>1</v>
      </c>
      <c r="C126" s="3">
        <v>50</v>
      </c>
      <c r="D126" s="18">
        <f>23.1-9.1</f>
        <v>14.000000000000002</v>
      </c>
      <c r="E126" s="23">
        <f t="shared" si="9"/>
        <v>139.9566</v>
      </c>
    </row>
    <row r="127" spans="2:5" ht="15">
      <c r="B127" s="1" t="s">
        <v>2</v>
      </c>
      <c r="C127" s="3">
        <v>50</v>
      </c>
      <c r="D127" s="18">
        <f>34.6-17.5</f>
        <v>17.1</v>
      </c>
      <c r="E127" s="23">
        <f t="shared" si="9"/>
        <v>170.94699</v>
      </c>
    </row>
    <row r="128" spans="2:5" ht="15">
      <c r="B128" s="1" t="s">
        <v>3</v>
      </c>
      <c r="C128" s="3">
        <v>50</v>
      </c>
      <c r="D128" s="18">
        <f>33.7-23.1</f>
        <v>10.600000000000001</v>
      </c>
      <c r="E128" s="23">
        <f t="shared" si="9"/>
        <v>105.96714</v>
      </c>
    </row>
    <row r="129" spans="2:5" ht="15">
      <c r="B129" s="1" t="s">
        <v>4</v>
      </c>
      <c r="C129" s="3">
        <v>50</v>
      </c>
      <c r="D129" s="18">
        <f>9.1-0.2</f>
        <v>8.9</v>
      </c>
      <c r="E129" s="23">
        <f t="shared" si="9"/>
        <v>88.97241</v>
      </c>
    </row>
    <row r="132" spans="2:3" ht="15">
      <c r="B132" s="12" t="s">
        <v>40</v>
      </c>
      <c r="C132" s="35">
        <v>41078</v>
      </c>
    </row>
    <row r="133" spans="2:5" ht="15">
      <c r="B133" s="7" t="s">
        <v>0</v>
      </c>
      <c r="C133" s="4" t="s">
        <v>27</v>
      </c>
      <c r="D133" s="16" t="s">
        <v>34</v>
      </c>
      <c r="E133" s="21" t="s">
        <v>16</v>
      </c>
    </row>
    <row r="134" spans="2:5" ht="17.25">
      <c r="B134" s="8"/>
      <c r="C134" s="5" t="s">
        <v>26</v>
      </c>
      <c r="D134" s="17" t="s">
        <v>26</v>
      </c>
      <c r="E134" s="22" t="s">
        <v>12</v>
      </c>
    </row>
    <row r="135" spans="2:5" ht="15">
      <c r="B135" s="3" t="s">
        <v>19</v>
      </c>
      <c r="C135" s="3">
        <v>50</v>
      </c>
      <c r="D135" s="18">
        <v>14.2</v>
      </c>
      <c r="E135" s="23">
        <f>(D135*0.0141*35450)/C135</f>
        <v>141.95597999999998</v>
      </c>
    </row>
    <row r="136" spans="2:5" ht="15">
      <c r="B136" s="1" t="s">
        <v>20</v>
      </c>
      <c r="C136" s="3">
        <v>50</v>
      </c>
      <c r="D136" s="18">
        <v>18.2</v>
      </c>
      <c r="E136" s="23">
        <f aca="true" t="shared" si="10" ref="E136:E142">(D136*0.0141*35450)/C136</f>
        <v>181.94357999999997</v>
      </c>
    </row>
    <row r="137" spans="2:5" ht="15">
      <c r="B137" s="1" t="s">
        <v>21</v>
      </c>
      <c r="C137" s="3">
        <v>50</v>
      </c>
      <c r="D137" s="18">
        <v>23.7</v>
      </c>
      <c r="E137" s="23">
        <f t="shared" si="10"/>
        <v>236.92652999999999</v>
      </c>
    </row>
    <row r="138" spans="2:5" ht="15">
      <c r="B138" s="1" t="s">
        <v>22</v>
      </c>
      <c r="C138" s="3">
        <v>50</v>
      </c>
      <c r="D138" s="18">
        <v>18.8</v>
      </c>
      <c r="E138" s="23">
        <f t="shared" si="10"/>
        <v>187.94171999999998</v>
      </c>
    </row>
    <row r="139" spans="2:5" ht="15">
      <c r="B139" s="1" t="s">
        <v>1</v>
      </c>
      <c r="C139" s="3">
        <v>50</v>
      </c>
      <c r="D139" s="18">
        <v>28.5</v>
      </c>
      <c r="E139" s="23">
        <f t="shared" si="10"/>
        <v>284.91164999999995</v>
      </c>
    </row>
    <row r="140" spans="2:5" ht="15">
      <c r="B140" s="1" t="s">
        <v>2</v>
      </c>
      <c r="C140" s="3">
        <v>50</v>
      </c>
      <c r="D140" s="18">
        <v>29.9</v>
      </c>
      <c r="E140" s="23">
        <f t="shared" si="10"/>
        <v>298.90730999999994</v>
      </c>
    </row>
    <row r="141" spans="2:5" ht="15">
      <c r="B141" s="1" t="s">
        <v>3</v>
      </c>
      <c r="C141" s="3">
        <v>50</v>
      </c>
      <c r="D141" s="18">
        <v>8.8</v>
      </c>
      <c r="E141" s="23">
        <f t="shared" si="10"/>
        <v>87.97272000000001</v>
      </c>
    </row>
    <row r="142" spans="2:5" ht="15">
      <c r="B142" s="1" t="s">
        <v>4</v>
      </c>
      <c r="C142" s="3">
        <v>50</v>
      </c>
      <c r="D142" s="18">
        <v>8.1</v>
      </c>
      <c r="E142" s="23">
        <f t="shared" si="10"/>
        <v>80.97489</v>
      </c>
    </row>
    <row r="145" spans="2:3" ht="15">
      <c r="B145" s="12" t="s">
        <v>40</v>
      </c>
      <c r="C145" s="35">
        <v>41106</v>
      </c>
    </row>
    <row r="146" spans="2:5" ht="15">
      <c r="B146" s="7" t="s">
        <v>0</v>
      </c>
      <c r="C146" s="4" t="s">
        <v>27</v>
      </c>
      <c r="D146" s="16" t="s">
        <v>34</v>
      </c>
      <c r="E146" s="21" t="s">
        <v>16</v>
      </c>
    </row>
    <row r="147" spans="2:5" ht="17.25">
      <c r="B147" s="8"/>
      <c r="C147" s="5" t="s">
        <v>26</v>
      </c>
      <c r="D147" s="17" t="s">
        <v>26</v>
      </c>
      <c r="E147" s="22" t="s">
        <v>12</v>
      </c>
    </row>
    <row r="148" spans="2:5" ht="15">
      <c r="B148" s="3" t="s">
        <v>19</v>
      </c>
      <c r="C148" s="3">
        <v>50</v>
      </c>
      <c r="D148" s="18">
        <v>31.6</v>
      </c>
      <c r="E148" s="23">
        <f>(D148*0.0141*35450)/C148</f>
        <v>315.90204</v>
      </c>
    </row>
    <row r="149" spans="2:5" ht="15">
      <c r="B149" s="1" t="s">
        <v>20</v>
      </c>
      <c r="C149" s="3">
        <v>50</v>
      </c>
      <c r="D149" s="18">
        <v>19.9</v>
      </c>
      <c r="E149" s="23">
        <f aca="true" t="shared" si="11" ref="E149:E155">(D149*0.0141*35450)/C149</f>
        <v>198.93830999999997</v>
      </c>
    </row>
    <row r="150" spans="2:5" ht="15">
      <c r="B150" s="1" t="s">
        <v>21</v>
      </c>
      <c r="C150" s="3">
        <v>50</v>
      </c>
      <c r="D150" s="18">
        <v>47.2</v>
      </c>
      <c r="E150" s="23">
        <f t="shared" si="11"/>
        <v>471.85368</v>
      </c>
    </row>
    <row r="151" spans="2:5" ht="15">
      <c r="B151" s="1" t="s">
        <v>22</v>
      </c>
      <c r="C151" s="3">
        <v>50</v>
      </c>
      <c r="D151" s="18">
        <v>54.5</v>
      </c>
      <c r="E151" s="23">
        <f t="shared" si="11"/>
        <v>544.83105</v>
      </c>
    </row>
    <row r="152" spans="2:5" ht="15">
      <c r="B152" s="1" t="s">
        <v>1</v>
      </c>
      <c r="C152" s="3">
        <v>50</v>
      </c>
      <c r="D152" s="18">
        <v>21.1</v>
      </c>
      <c r="E152" s="23">
        <f t="shared" si="11"/>
        <v>210.93459</v>
      </c>
    </row>
    <row r="153" spans="2:5" ht="15">
      <c r="B153" s="1" t="s">
        <v>2</v>
      </c>
      <c r="C153" s="3">
        <v>50</v>
      </c>
      <c r="D153" s="18">
        <v>30.1</v>
      </c>
      <c r="E153" s="23">
        <f t="shared" si="11"/>
        <v>300.90669</v>
      </c>
    </row>
    <row r="154" spans="2:5" ht="15">
      <c r="B154" s="1" t="s">
        <v>3</v>
      </c>
      <c r="C154" s="3">
        <v>50</v>
      </c>
      <c r="D154" s="18">
        <v>8</v>
      </c>
      <c r="E154" s="23">
        <f t="shared" si="11"/>
        <v>79.9752</v>
      </c>
    </row>
    <row r="155" spans="2:5" ht="15">
      <c r="B155" s="1" t="s">
        <v>4</v>
      </c>
      <c r="C155" s="3">
        <v>50</v>
      </c>
      <c r="D155" s="18">
        <v>13.5</v>
      </c>
      <c r="E155" s="23">
        <f t="shared" si="11"/>
        <v>134.95815</v>
      </c>
    </row>
    <row r="158" spans="2:3" ht="15">
      <c r="B158" s="12" t="s">
        <v>40</v>
      </c>
      <c r="C158" s="35">
        <v>41141</v>
      </c>
    </row>
    <row r="159" spans="2:5" ht="15">
      <c r="B159" s="7" t="s">
        <v>0</v>
      </c>
      <c r="C159" s="4" t="s">
        <v>27</v>
      </c>
      <c r="D159" s="16" t="s">
        <v>34</v>
      </c>
      <c r="E159" s="21" t="s">
        <v>16</v>
      </c>
    </row>
    <row r="160" spans="2:5" ht="17.25">
      <c r="B160" s="8"/>
      <c r="C160" s="5" t="s">
        <v>26</v>
      </c>
      <c r="D160" s="17" t="s">
        <v>26</v>
      </c>
      <c r="E160" s="22" t="s">
        <v>12</v>
      </c>
    </row>
    <row r="161" spans="2:5" ht="15">
      <c r="B161" s="3" t="s">
        <v>19</v>
      </c>
      <c r="C161" s="3">
        <v>50</v>
      </c>
      <c r="D161" s="18">
        <v>31</v>
      </c>
      <c r="E161" s="23">
        <f>(D161*0.0141*35450)/C161</f>
        <v>309.9039</v>
      </c>
    </row>
    <row r="162" spans="2:5" ht="15">
      <c r="B162" s="1" t="s">
        <v>20</v>
      </c>
      <c r="C162" s="3">
        <v>50</v>
      </c>
      <c r="D162" s="18">
        <v>20.7</v>
      </c>
      <c r="E162" s="23">
        <f aca="true" t="shared" si="12" ref="E162:E168">(D162*0.0141*35450)/C162</f>
        <v>206.93582999999998</v>
      </c>
    </row>
    <row r="163" spans="2:5" ht="15">
      <c r="B163" s="1" t="s">
        <v>21</v>
      </c>
      <c r="C163" s="3">
        <v>50</v>
      </c>
      <c r="D163" s="18">
        <v>34.7</v>
      </c>
      <c r="E163" s="23">
        <f t="shared" si="12"/>
        <v>346.89243000000005</v>
      </c>
    </row>
    <row r="164" spans="2:5" ht="15">
      <c r="B164" s="1" t="s">
        <v>22</v>
      </c>
      <c r="C164" s="3">
        <v>50</v>
      </c>
      <c r="D164" s="18">
        <v>55.1</v>
      </c>
      <c r="E164" s="23">
        <f t="shared" si="12"/>
        <v>550.82919</v>
      </c>
    </row>
    <row r="165" spans="2:5" ht="15">
      <c r="B165" s="1" t="s">
        <v>1</v>
      </c>
      <c r="C165" s="3">
        <v>50</v>
      </c>
      <c r="D165" s="18">
        <v>25.5</v>
      </c>
      <c r="E165" s="23">
        <f t="shared" si="12"/>
        <v>254.92094999999998</v>
      </c>
    </row>
    <row r="166" spans="2:5" ht="15">
      <c r="B166" s="1" t="s">
        <v>2</v>
      </c>
      <c r="C166" s="3">
        <v>50</v>
      </c>
      <c r="D166" s="18">
        <v>28.8</v>
      </c>
      <c r="E166" s="23">
        <f t="shared" si="12"/>
        <v>287.91072</v>
      </c>
    </row>
    <row r="167" spans="2:5" ht="15">
      <c r="B167" s="1" t="s">
        <v>3</v>
      </c>
      <c r="C167" s="3">
        <v>50</v>
      </c>
      <c r="D167" s="18">
        <v>11.8</v>
      </c>
      <c r="E167" s="23">
        <f t="shared" si="12"/>
        <v>117.96342</v>
      </c>
    </row>
    <row r="168" spans="2:5" ht="15">
      <c r="B168" s="1" t="s">
        <v>4</v>
      </c>
      <c r="C168" s="3">
        <v>25</v>
      </c>
      <c r="D168" s="18">
        <v>8.2</v>
      </c>
      <c r="E168" s="23">
        <f t="shared" si="12"/>
        <v>163.94915999999998</v>
      </c>
    </row>
    <row r="171" spans="2:3" ht="15">
      <c r="B171" s="12" t="s">
        <v>40</v>
      </c>
      <c r="C171" s="35">
        <v>41169</v>
      </c>
    </row>
    <row r="172" spans="2:5" ht="15">
      <c r="B172" s="7" t="s">
        <v>0</v>
      </c>
      <c r="C172" s="4" t="s">
        <v>27</v>
      </c>
      <c r="D172" s="16" t="s">
        <v>34</v>
      </c>
      <c r="E172" s="21" t="s">
        <v>16</v>
      </c>
    </row>
    <row r="173" spans="2:5" ht="17.25">
      <c r="B173" s="8"/>
      <c r="C173" s="5" t="s">
        <v>26</v>
      </c>
      <c r="D173" s="17" t="s">
        <v>26</v>
      </c>
      <c r="E173" s="22" t="s">
        <v>12</v>
      </c>
    </row>
    <row r="174" spans="2:5" ht="15">
      <c r="B174" s="3" t="s">
        <v>19</v>
      </c>
      <c r="C174" s="3">
        <v>50</v>
      </c>
      <c r="D174" s="18">
        <f>50-18.6</f>
        <v>31.4</v>
      </c>
      <c r="E174" s="23">
        <f>(D174*0.0141*35450)/C174</f>
        <v>313.90265999999997</v>
      </c>
    </row>
    <row r="175" spans="2:5" ht="15">
      <c r="B175" s="1" t="s">
        <v>20</v>
      </c>
      <c r="C175" s="3">
        <v>50</v>
      </c>
      <c r="D175" s="18">
        <f>20.4-0.3</f>
        <v>20.099999999999998</v>
      </c>
      <c r="E175" s="23">
        <f aca="true" t="shared" si="13" ref="E175:E181">(D175*0.0141*35450)/C175</f>
        <v>200.93768999999998</v>
      </c>
    </row>
    <row r="176" spans="2:5" ht="15">
      <c r="B176" s="1" t="s">
        <v>21</v>
      </c>
      <c r="C176" s="3">
        <v>50</v>
      </c>
      <c r="D176" s="18">
        <f>48-7.6</f>
        <v>40.4</v>
      </c>
      <c r="E176" s="23">
        <f t="shared" si="13"/>
        <v>403.8747599999999</v>
      </c>
    </row>
    <row r="177" spans="2:5" ht="15">
      <c r="B177" s="1" t="s">
        <v>22</v>
      </c>
      <c r="C177" s="3">
        <v>50</v>
      </c>
      <c r="D177" s="18">
        <f>(50-18.8)+(18.6-0.4)</f>
        <v>49.400000000000006</v>
      </c>
      <c r="E177" s="23">
        <f t="shared" si="13"/>
        <v>493.84686</v>
      </c>
    </row>
    <row r="178" spans="2:5" ht="15">
      <c r="B178" s="1" t="s">
        <v>1</v>
      </c>
      <c r="C178" s="3">
        <v>50</v>
      </c>
      <c r="D178" s="18">
        <f>18.8-1</f>
        <v>17.8</v>
      </c>
      <c r="E178" s="23">
        <f t="shared" si="13"/>
        <v>177.94482</v>
      </c>
    </row>
    <row r="179" spans="2:5" ht="15">
      <c r="B179" s="1" t="s">
        <v>2</v>
      </c>
      <c r="C179" s="3">
        <v>50</v>
      </c>
      <c r="D179" s="18">
        <f>31.5-2.2</f>
        <v>29.3</v>
      </c>
      <c r="E179" s="23">
        <f t="shared" si="13"/>
        <v>292.90917</v>
      </c>
    </row>
    <row r="180" spans="2:5" ht="15">
      <c r="B180" s="1" t="s">
        <v>3</v>
      </c>
      <c r="C180" s="3">
        <v>50</v>
      </c>
      <c r="D180" s="18">
        <f>(80-20.4)+(7.6-2.1)</f>
        <v>65.1</v>
      </c>
      <c r="E180" s="23">
        <f t="shared" si="13"/>
        <v>650.79819</v>
      </c>
    </row>
    <row r="181" spans="2:5" ht="15">
      <c r="B181" s="1" t="s">
        <v>4</v>
      </c>
      <c r="C181" s="3">
        <v>50</v>
      </c>
      <c r="D181" s="18">
        <f>49.6-31.5</f>
        <v>18.1</v>
      </c>
      <c r="E181" s="23">
        <f t="shared" si="13"/>
        <v>180.94388999999998</v>
      </c>
    </row>
    <row r="184" spans="2:3" ht="15">
      <c r="B184" s="12" t="s">
        <v>40</v>
      </c>
      <c r="C184" s="35">
        <v>41197</v>
      </c>
    </row>
    <row r="185" spans="2:5" ht="15">
      <c r="B185" s="7" t="s">
        <v>0</v>
      </c>
      <c r="C185" s="4" t="s">
        <v>27</v>
      </c>
      <c r="D185" s="16" t="s">
        <v>34</v>
      </c>
      <c r="E185" s="21" t="s">
        <v>16</v>
      </c>
    </row>
    <row r="186" spans="2:5" ht="17.25">
      <c r="B186" s="8"/>
      <c r="C186" s="5" t="s">
        <v>26</v>
      </c>
      <c r="D186" s="17" t="s">
        <v>26</v>
      </c>
      <c r="E186" s="22" t="s">
        <v>12</v>
      </c>
    </row>
    <row r="187" spans="2:5" ht="15">
      <c r="B187" s="3" t="s">
        <v>19</v>
      </c>
      <c r="C187" s="3">
        <v>50</v>
      </c>
      <c r="D187" s="18">
        <v>28.3</v>
      </c>
      <c r="E187" s="23">
        <f>(D187*0.0141*35450)/C187</f>
        <v>282.91227</v>
      </c>
    </row>
    <row r="188" spans="2:5" ht="15">
      <c r="B188" s="1" t="s">
        <v>20</v>
      </c>
      <c r="C188" s="3">
        <v>50</v>
      </c>
      <c r="D188" s="18">
        <v>13.5</v>
      </c>
      <c r="E188" s="23">
        <f aca="true" t="shared" si="14" ref="E188:E194">(D188*0.0141*35450)/C188</f>
        <v>134.95815</v>
      </c>
    </row>
    <row r="189" spans="2:5" ht="15">
      <c r="B189" s="1" t="s">
        <v>21</v>
      </c>
      <c r="C189" s="3">
        <v>50</v>
      </c>
      <c r="D189" s="18">
        <v>42.4</v>
      </c>
      <c r="E189" s="23">
        <f t="shared" si="14"/>
        <v>423.86855999999995</v>
      </c>
    </row>
    <row r="190" spans="2:5" ht="15">
      <c r="B190" s="1" t="s">
        <v>22</v>
      </c>
      <c r="C190" s="3">
        <v>50</v>
      </c>
      <c r="D190" s="18">
        <v>41.2</v>
      </c>
      <c r="E190" s="23">
        <f t="shared" si="14"/>
        <v>411.87228000000005</v>
      </c>
    </row>
    <row r="191" spans="2:5" ht="15">
      <c r="B191" s="1" t="s">
        <v>1</v>
      </c>
      <c r="C191" s="3">
        <v>50</v>
      </c>
      <c r="D191" s="18">
        <v>10.2</v>
      </c>
      <c r="E191" s="23">
        <f t="shared" si="14"/>
        <v>101.96837999999998</v>
      </c>
    </row>
    <row r="192" spans="2:5" ht="15">
      <c r="B192" s="1" t="s">
        <v>2</v>
      </c>
      <c r="C192" s="3">
        <v>50</v>
      </c>
      <c r="D192" s="18">
        <v>21.5</v>
      </c>
      <c r="E192" s="23">
        <f t="shared" si="14"/>
        <v>214.93335</v>
      </c>
    </row>
    <row r="193" spans="2:5" ht="15">
      <c r="B193" s="1" t="s">
        <v>3</v>
      </c>
      <c r="C193" s="3">
        <v>50</v>
      </c>
      <c r="D193" s="18">
        <v>13.6</v>
      </c>
      <c r="E193" s="23">
        <f t="shared" si="14"/>
        <v>135.95784</v>
      </c>
    </row>
    <row r="194" spans="2:5" ht="15">
      <c r="B194" s="1" t="s">
        <v>4</v>
      </c>
      <c r="C194" s="3">
        <v>50</v>
      </c>
      <c r="D194" s="18">
        <v>12.3</v>
      </c>
      <c r="E194" s="23">
        <f t="shared" si="14"/>
        <v>122.96187</v>
      </c>
    </row>
    <row r="197" spans="2:3" ht="15">
      <c r="B197" s="12" t="s">
        <v>40</v>
      </c>
      <c r="C197" s="35">
        <v>41232</v>
      </c>
    </row>
    <row r="198" spans="2:5" ht="15">
      <c r="B198" s="7" t="s">
        <v>0</v>
      </c>
      <c r="C198" s="4" t="s">
        <v>27</v>
      </c>
      <c r="D198" s="16" t="s">
        <v>34</v>
      </c>
      <c r="E198" s="21" t="s">
        <v>16</v>
      </c>
    </row>
    <row r="199" spans="2:5" ht="17.25">
      <c r="B199" s="8"/>
      <c r="C199" s="5" t="s">
        <v>26</v>
      </c>
      <c r="D199" s="17" t="s">
        <v>26</v>
      </c>
      <c r="E199" s="22" t="s">
        <v>12</v>
      </c>
    </row>
    <row r="200" spans="2:5" ht="15">
      <c r="B200" s="3" t="s">
        <v>19</v>
      </c>
      <c r="C200" s="3">
        <v>50</v>
      </c>
      <c r="D200" s="18">
        <f>(50-37.7)+(14.7-0.5)</f>
        <v>26.499999999999996</v>
      </c>
      <c r="E200" s="23">
        <f>(D200*0.0141*35450)/C200</f>
        <v>264.91785</v>
      </c>
    </row>
    <row r="201" spans="2:5" ht="15">
      <c r="B201" s="1" t="s">
        <v>20</v>
      </c>
      <c r="C201" s="3">
        <v>50</v>
      </c>
      <c r="D201" s="18">
        <f>41.6-21.7</f>
        <v>19.900000000000002</v>
      </c>
      <c r="E201" s="23">
        <f aca="true" t="shared" si="15" ref="E201:E207">(D201*0.0141*35450)/C201</f>
        <v>198.93831000000003</v>
      </c>
    </row>
    <row r="202" spans="2:5" ht="15">
      <c r="B202" s="1" t="s">
        <v>21</v>
      </c>
      <c r="C202" s="3">
        <v>50</v>
      </c>
      <c r="D202" s="18">
        <f>(50-33.7)+(17.2-1.6)</f>
        <v>31.9</v>
      </c>
      <c r="E202" s="23">
        <f t="shared" si="15"/>
        <v>318.90110999999996</v>
      </c>
    </row>
    <row r="203" spans="2:5" ht="15">
      <c r="B203" s="1" t="s">
        <v>22</v>
      </c>
      <c r="C203" s="3">
        <v>50</v>
      </c>
      <c r="D203" s="18">
        <f>(50-14.7)+(33.7-27.1)</f>
        <v>41.9</v>
      </c>
      <c r="E203" s="23">
        <f t="shared" si="15"/>
        <v>418.8701099999999</v>
      </c>
    </row>
    <row r="204" spans="2:5" ht="15">
      <c r="B204" s="1" t="s">
        <v>1</v>
      </c>
      <c r="C204" s="3">
        <v>50</v>
      </c>
      <c r="D204" s="18">
        <f>34.8-11.6</f>
        <v>23.199999999999996</v>
      </c>
      <c r="E204" s="23">
        <f t="shared" si="15"/>
        <v>231.92807999999994</v>
      </c>
    </row>
    <row r="205" spans="2:5" ht="15">
      <c r="B205" s="1" t="s">
        <v>2</v>
      </c>
      <c r="C205" s="3">
        <v>50</v>
      </c>
      <c r="D205" s="18">
        <f>(50-33.9)+(9-0.2)</f>
        <v>24.900000000000002</v>
      </c>
      <c r="E205" s="23">
        <f t="shared" si="15"/>
        <v>248.92281000000003</v>
      </c>
    </row>
    <row r="206" spans="2:5" ht="15">
      <c r="B206" s="1" t="s">
        <v>3</v>
      </c>
      <c r="C206" s="3">
        <v>50</v>
      </c>
      <c r="D206" s="18">
        <f>33.9-17.2</f>
        <v>16.7</v>
      </c>
      <c r="E206" s="23">
        <f t="shared" si="15"/>
        <v>166.94823</v>
      </c>
    </row>
    <row r="207" spans="2:5" ht="15">
      <c r="B207" s="1" t="s">
        <v>4</v>
      </c>
      <c r="C207" s="3">
        <v>50</v>
      </c>
      <c r="D207" s="18">
        <f>(50-34.8)+(21.7-18.4)</f>
        <v>18.500000000000004</v>
      </c>
      <c r="E207" s="23">
        <f t="shared" si="15"/>
        <v>184.94265000000004</v>
      </c>
    </row>
    <row r="210" spans="2:3" ht="15">
      <c r="B210" s="12" t="s">
        <v>40</v>
      </c>
      <c r="C210" s="35">
        <v>41260</v>
      </c>
    </row>
    <row r="211" spans="2:5" ht="15">
      <c r="B211" s="7" t="s">
        <v>0</v>
      </c>
      <c r="C211" s="4" t="s">
        <v>27</v>
      </c>
      <c r="D211" s="16" t="s">
        <v>34</v>
      </c>
      <c r="E211" s="21" t="s">
        <v>16</v>
      </c>
    </row>
    <row r="212" spans="2:5" ht="17.25">
      <c r="B212" s="8"/>
      <c r="C212" s="5" t="s">
        <v>26</v>
      </c>
      <c r="D212" s="17" t="s">
        <v>26</v>
      </c>
      <c r="E212" s="22" t="s">
        <v>12</v>
      </c>
    </row>
    <row r="213" spans="2:5" ht="15">
      <c r="B213" s="3" t="s">
        <v>19</v>
      </c>
      <c r="C213" s="3">
        <v>50</v>
      </c>
      <c r="D213" s="18">
        <v>28.6</v>
      </c>
      <c r="E213" s="23">
        <f>(D213*0.0141*35450)/C213</f>
        <v>285.91134</v>
      </c>
    </row>
    <row r="214" spans="2:5" ht="15">
      <c r="B214" s="1" t="s">
        <v>20</v>
      </c>
      <c r="C214" s="3">
        <v>50</v>
      </c>
      <c r="D214" s="18">
        <v>21</v>
      </c>
      <c r="E214" s="23">
        <f aca="true" t="shared" si="16" ref="E214:E220">(D214*0.0141*35450)/C214</f>
        <v>209.93489999999997</v>
      </c>
    </row>
    <row r="215" spans="2:5" ht="15">
      <c r="B215" s="1" t="s">
        <v>21</v>
      </c>
      <c r="C215" s="3">
        <v>50</v>
      </c>
      <c r="D215" s="18">
        <v>32</v>
      </c>
      <c r="E215" s="23">
        <f t="shared" si="16"/>
        <v>319.9008</v>
      </c>
    </row>
    <row r="216" spans="2:5" ht="15">
      <c r="B216" s="1" t="s">
        <v>22</v>
      </c>
      <c r="C216" s="3">
        <v>50</v>
      </c>
      <c r="D216" s="18">
        <v>29.8</v>
      </c>
      <c r="E216" s="23">
        <f t="shared" si="16"/>
        <v>297.90762</v>
      </c>
    </row>
    <row r="217" spans="2:5" ht="15">
      <c r="B217" s="1" t="s">
        <v>1</v>
      </c>
      <c r="C217" s="3">
        <v>50</v>
      </c>
      <c r="D217" s="18">
        <v>27.4</v>
      </c>
      <c r="E217" s="23">
        <f t="shared" si="16"/>
        <v>273.91506</v>
      </c>
    </row>
    <row r="218" spans="2:5" ht="15">
      <c r="B218" s="1" t="s">
        <v>2</v>
      </c>
      <c r="C218" s="3">
        <v>50</v>
      </c>
      <c r="D218" s="18">
        <v>27.1</v>
      </c>
      <c r="E218" s="23">
        <f t="shared" si="16"/>
        <v>270.91599</v>
      </c>
    </row>
    <row r="219" spans="2:5" ht="15">
      <c r="B219" s="1" t="s">
        <v>3</v>
      </c>
      <c r="C219" s="3">
        <v>50</v>
      </c>
      <c r="D219" s="18">
        <v>26.4</v>
      </c>
      <c r="E219" s="23">
        <f t="shared" si="16"/>
        <v>263.91816</v>
      </c>
    </row>
    <row r="220" spans="2:5" ht="15">
      <c r="B220" s="1" t="s">
        <v>4</v>
      </c>
      <c r="C220" s="3">
        <v>50</v>
      </c>
      <c r="D220" s="18">
        <v>21.9</v>
      </c>
      <c r="E220" s="23">
        <f t="shared" si="16"/>
        <v>218.93210999999997</v>
      </c>
    </row>
    <row r="223" spans="2:3" ht="15">
      <c r="B223" s="12" t="s">
        <v>40</v>
      </c>
      <c r="C223" s="35">
        <v>41288</v>
      </c>
    </row>
    <row r="224" spans="2:5" ht="15">
      <c r="B224" s="7" t="s">
        <v>0</v>
      </c>
      <c r="C224" s="4" t="s">
        <v>27</v>
      </c>
      <c r="D224" s="16" t="s">
        <v>34</v>
      </c>
      <c r="E224" s="21" t="s">
        <v>16</v>
      </c>
    </row>
    <row r="225" spans="2:5" ht="17.25">
      <c r="B225" s="8"/>
      <c r="C225" s="5" t="s">
        <v>26</v>
      </c>
      <c r="D225" s="17" t="s">
        <v>26</v>
      </c>
      <c r="E225" s="22" t="s">
        <v>12</v>
      </c>
    </row>
    <row r="226" spans="2:5" ht="15">
      <c r="B226" s="3" t="s">
        <v>19</v>
      </c>
      <c r="C226" s="3">
        <v>50</v>
      </c>
      <c r="D226" s="18">
        <v>26</v>
      </c>
      <c r="E226" s="23">
        <f>(D226*0.0141*35450)/C226</f>
        <v>259.9194</v>
      </c>
    </row>
    <row r="227" spans="2:5" ht="15">
      <c r="B227" s="1" t="s">
        <v>20</v>
      </c>
      <c r="C227" s="3">
        <v>50</v>
      </c>
      <c r="D227" s="18">
        <v>22.8</v>
      </c>
      <c r="E227" s="23">
        <f aca="true" t="shared" si="17" ref="E227:E232">(D227*0.0141*35450)/C227</f>
        <v>227.92932000000002</v>
      </c>
    </row>
    <row r="228" spans="2:5" ht="15">
      <c r="B228" s="1" t="s">
        <v>21</v>
      </c>
      <c r="C228" s="3">
        <v>50</v>
      </c>
      <c r="D228" s="18">
        <v>26.6</v>
      </c>
      <c r="E228" s="23">
        <f t="shared" si="17"/>
        <v>265.91754000000003</v>
      </c>
    </row>
    <row r="229" spans="2:5" ht="15">
      <c r="B229" s="1" t="s">
        <v>22</v>
      </c>
      <c r="C229" s="3">
        <v>50</v>
      </c>
      <c r="D229" s="18">
        <v>22.7</v>
      </c>
      <c r="E229" s="23">
        <f t="shared" si="17"/>
        <v>226.92962999999997</v>
      </c>
    </row>
    <row r="230" spans="2:5" ht="15">
      <c r="B230" s="1" t="s">
        <v>1</v>
      </c>
      <c r="C230" s="3">
        <v>50</v>
      </c>
      <c r="D230" s="18">
        <v>19.1</v>
      </c>
      <c r="E230" s="23">
        <f t="shared" si="17"/>
        <v>190.94079</v>
      </c>
    </row>
    <row r="231" spans="2:5" ht="15">
      <c r="B231" s="1" t="s">
        <v>2</v>
      </c>
      <c r="C231" s="3">
        <v>50</v>
      </c>
      <c r="D231" s="18">
        <v>30.6</v>
      </c>
      <c r="E231" s="23">
        <f t="shared" si="17"/>
        <v>305.90514</v>
      </c>
    </row>
    <row r="232" spans="2:5" ht="15">
      <c r="B232" s="1" t="s">
        <v>3</v>
      </c>
      <c r="C232" s="3">
        <v>50</v>
      </c>
      <c r="D232" s="18">
        <v>19.2</v>
      </c>
      <c r="E232" s="23">
        <f t="shared" si="17"/>
        <v>191.94047999999998</v>
      </c>
    </row>
    <row r="233" spans="2:5" ht="15">
      <c r="B233" s="1" t="s">
        <v>4</v>
      </c>
      <c r="C233" s="164" t="s">
        <v>59</v>
      </c>
      <c r="D233" s="165" t="s">
        <v>59</v>
      </c>
      <c r="E233" s="22" t="s">
        <v>59</v>
      </c>
    </row>
    <row r="236" spans="2:3" ht="15">
      <c r="B236" s="12" t="s">
        <v>40</v>
      </c>
      <c r="C236" s="35"/>
    </row>
    <row r="237" spans="2:5" ht="15">
      <c r="B237" s="7" t="s">
        <v>0</v>
      </c>
      <c r="C237" s="4" t="s">
        <v>27</v>
      </c>
      <c r="D237" s="16" t="s">
        <v>34</v>
      </c>
      <c r="E237" s="21" t="s">
        <v>16</v>
      </c>
    </row>
    <row r="238" spans="2:5" ht="17.25">
      <c r="B238" s="8"/>
      <c r="C238" s="5" t="s">
        <v>26</v>
      </c>
      <c r="D238" s="17" t="s">
        <v>26</v>
      </c>
      <c r="E238" s="22" t="s">
        <v>12</v>
      </c>
    </row>
    <row r="239" spans="2:5" ht="15">
      <c r="B239" s="3" t="s">
        <v>19</v>
      </c>
      <c r="C239" s="3">
        <v>50</v>
      </c>
      <c r="D239" s="18">
        <v>0</v>
      </c>
      <c r="E239" s="23">
        <f>(D239*0.0141*35450)/C239</f>
        <v>0</v>
      </c>
    </row>
    <row r="240" spans="2:5" ht="15">
      <c r="B240" s="1" t="s">
        <v>20</v>
      </c>
      <c r="C240" s="3">
        <v>50</v>
      </c>
      <c r="D240" s="18">
        <v>0</v>
      </c>
      <c r="E240" s="23">
        <f aca="true" t="shared" si="18" ref="E240:E246">(D240*0.0141*35450)/C240</f>
        <v>0</v>
      </c>
    </row>
    <row r="241" spans="2:5" ht="15">
      <c r="B241" s="1" t="s">
        <v>21</v>
      </c>
      <c r="C241" s="3">
        <v>50</v>
      </c>
      <c r="D241" s="18">
        <v>0</v>
      </c>
      <c r="E241" s="23">
        <f t="shared" si="18"/>
        <v>0</v>
      </c>
    </row>
    <row r="242" spans="2:5" ht="15">
      <c r="B242" s="1" t="s">
        <v>22</v>
      </c>
      <c r="C242" s="3">
        <v>50</v>
      </c>
      <c r="D242" s="18">
        <v>0</v>
      </c>
      <c r="E242" s="23">
        <f t="shared" si="18"/>
        <v>0</v>
      </c>
    </row>
    <row r="243" spans="2:5" ht="15">
      <c r="B243" s="1" t="s">
        <v>1</v>
      </c>
      <c r="C243" s="3">
        <v>50</v>
      </c>
      <c r="D243" s="18">
        <v>0</v>
      </c>
      <c r="E243" s="23">
        <f t="shared" si="18"/>
        <v>0</v>
      </c>
    </row>
    <row r="244" spans="2:5" ht="15">
      <c r="B244" s="1" t="s">
        <v>2</v>
      </c>
      <c r="C244" s="3">
        <v>50</v>
      </c>
      <c r="D244" s="18">
        <v>0</v>
      </c>
      <c r="E244" s="23">
        <f t="shared" si="18"/>
        <v>0</v>
      </c>
    </row>
    <row r="245" spans="2:5" ht="15">
      <c r="B245" s="1" t="s">
        <v>3</v>
      </c>
      <c r="C245" s="3">
        <v>50</v>
      </c>
      <c r="D245" s="18">
        <v>0</v>
      </c>
      <c r="E245" s="23">
        <f t="shared" si="18"/>
        <v>0</v>
      </c>
    </row>
    <row r="246" spans="2:5" ht="15">
      <c r="B246" s="1" t="s">
        <v>4</v>
      </c>
      <c r="C246" s="3">
        <v>50</v>
      </c>
      <c r="D246" s="18">
        <v>0</v>
      </c>
      <c r="E246" s="23">
        <f t="shared" si="18"/>
        <v>0</v>
      </c>
    </row>
    <row r="249" spans="2:3" ht="15">
      <c r="B249" s="12" t="s">
        <v>40</v>
      </c>
      <c r="C249" s="35"/>
    </row>
    <row r="250" spans="2:5" ht="15">
      <c r="B250" s="7" t="s">
        <v>0</v>
      </c>
      <c r="C250" s="4" t="s">
        <v>27</v>
      </c>
      <c r="D250" s="16" t="s">
        <v>34</v>
      </c>
      <c r="E250" s="21" t="s">
        <v>16</v>
      </c>
    </row>
    <row r="251" spans="2:5" ht="17.25">
      <c r="B251" s="8"/>
      <c r="C251" s="5" t="s">
        <v>26</v>
      </c>
      <c r="D251" s="17" t="s">
        <v>26</v>
      </c>
      <c r="E251" s="22" t="s">
        <v>12</v>
      </c>
    </row>
    <row r="252" spans="2:5" ht="15">
      <c r="B252" s="3" t="s">
        <v>19</v>
      </c>
      <c r="C252" s="3">
        <v>50</v>
      </c>
      <c r="D252" s="18">
        <v>0</v>
      </c>
      <c r="E252" s="23">
        <f>(D252*0.0141*35450)/C252</f>
        <v>0</v>
      </c>
    </row>
    <row r="253" spans="2:5" ht="15">
      <c r="B253" s="1" t="s">
        <v>20</v>
      </c>
      <c r="C253" s="3">
        <v>50</v>
      </c>
      <c r="D253" s="18">
        <v>0</v>
      </c>
      <c r="E253" s="23">
        <f aca="true" t="shared" si="19" ref="E253:E259">(D253*0.0141*35450)/C253</f>
        <v>0</v>
      </c>
    </row>
    <row r="254" spans="2:5" ht="15">
      <c r="B254" s="1" t="s">
        <v>21</v>
      </c>
      <c r="C254" s="3">
        <v>50</v>
      </c>
      <c r="D254" s="18">
        <v>0</v>
      </c>
      <c r="E254" s="23">
        <f t="shared" si="19"/>
        <v>0</v>
      </c>
    </row>
    <row r="255" spans="2:5" ht="15">
      <c r="B255" s="1" t="s">
        <v>22</v>
      </c>
      <c r="C255" s="3">
        <v>50</v>
      </c>
      <c r="D255" s="18">
        <v>0</v>
      </c>
      <c r="E255" s="23">
        <f t="shared" si="19"/>
        <v>0</v>
      </c>
    </row>
    <row r="256" spans="2:5" ht="15">
      <c r="B256" s="1" t="s">
        <v>1</v>
      </c>
      <c r="C256" s="3">
        <v>50</v>
      </c>
      <c r="D256" s="18">
        <v>0</v>
      </c>
      <c r="E256" s="23">
        <f t="shared" si="19"/>
        <v>0</v>
      </c>
    </row>
    <row r="257" spans="2:5" ht="15">
      <c r="B257" s="1" t="s">
        <v>2</v>
      </c>
      <c r="C257" s="3">
        <v>50</v>
      </c>
      <c r="D257" s="18">
        <v>0</v>
      </c>
      <c r="E257" s="23">
        <f t="shared" si="19"/>
        <v>0</v>
      </c>
    </row>
    <row r="258" spans="2:5" ht="15">
      <c r="B258" s="1" t="s">
        <v>3</v>
      </c>
      <c r="C258" s="3">
        <v>50</v>
      </c>
      <c r="D258" s="18">
        <v>0</v>
      </c>
      <c r="E258" s="23">
        <f t="shared" si="19"/>
        <v>0</v>
      </c>
    </row>
    <row r="259" spans="2:5" ht="15">
      <c r="B259" s="1" t="s">
        <v>4</v>
      </c>
      <c r="C259" s="3">
        <v>50</v>
      </c>
      <c r="D259" s="18">
        <v>0</v>
      </c>
      <c r="E259" s="23">
        <f t="shared" si="19"/>
        <v>0</v>
      </c>
    </row>
    <row r="262" spans="2:3" ht="15">
      <c r="B262" s="12" t="s">
        <v>40</v>
      </c>
      <c r="C262" s="35"/>
    </row>
    <row r="263" spans="2:5" ht="15">
      <c r="B263" s="7" t="s">
        <v>0</v>
      </c>
      <c r="C263" s="4" t="s">
        <v>27</v>
      </c>
      <c r="D263" s="16" t="s">
        <v>34</v>
      </c>
      <c r="E263" s="21" t="s">
        <v>16</v>
      </c>
    </row>
    <row r="264" spans="2:5" ht="17.25">
      <c r="B264" s="8"/>
      <c r="C264" s="5" t="s">
        <v>26</v>
      </c>
      <c r="D264" s="17" t="s">
        <v>26</v>
      </c>
      <c r="E264" s="22" t="s">
        <v>12</v>
      </c>
    </row>
    <row r="265" spans="2:5" ht="15">
      <c r="B265" s="3" t="s">
        <v>19</v>
      </c>
      <c r="C265" s="3">
        <v>50</v>
      </c>
      <c r="D265" s="18">
        <v>0</v>
      </c>
      <c r="E265" s="23">
        <f>(D265*0.0141*35450)/C265</f>
        <v>0</v>
      </c>
    </row>
    <row r="266" spans="2:5" ht="15">
      <c r="B266" s="1" t="s">
        <v>20</v>
      </c>
      <c r="C266" s="3">
        <v>50</v>
      </c>
      <c r="D266" s="18">
        <v>0</v>
      </c>
      <c r="E266" s="23">
        <f aca="true" t="shared" si="20" ref="E266:E272">(D266*0.0141*35450)/C266</f>
        <v>0</v>
      </c>
    </row>
    <row r="267" spans="2:5" ht="15">
      <c r="B267" s="1" t="s">
        <v>21</v>
      </c>
      <c r="C267" s="3">
        <v>50</v>
      </c>
      <c r="D267" s="18">
        <v>0</v>
      </c>
      <c r="E267" s="23">
        <f t="shared" si="20"/>
        <v>0</v>
      </c>
    </row>
    <row r="268" spans="2:5" ht="15">
      <c r="B268" s="1" t="s">
        <v>22</v>
      </c>
      <c r="C268" s="3">
        <v>50</v>
      </c>
      <c r="D268" s="18">
        <v>0</v>
      </c>
      <c r="E268" s="23">
        <f t="shared" si="20"/>
        <v>0</v>
      </c>
    </row>
    <row r="269" spans="2:5" ht="15">
      <c r="B269" s="1" t="s">
        <v>1</v>
      </c>
      <c r="C269" s="3">
        <v>50</v>
      </c>
      <c r="D269" s="18">
        <v>0</v>
      </c>
      <c r="E269" s="23">
        <f t="shared" si="20"/>
        <v>0</v>
      </c>
    </row>
    <row r="270" spans="2:5" ht="15">
      <c r="B270" s="1" t="s">
        <v>2</v>
      </c>
      <c r="C270" s="3">
        <v>50</v>
      </c>
      <c r="D270" s="18">
        <v>0</v>
      </c>
      <c r="E270" s="23">
        <f t="shared" si="20"/>
        <v>0</v>
      </c>
    </row>
    <row r="271" spans="2:5" ht="15">
      <c r="B271" s="1" t="s">
        <v>3</v>
      </c>
      <c r="C271" s="3">
        <v>50</v>
      </c>
      <c r="D271" s="18">
        <v>0</v>
      </c>
      <c r="E271" s="23">
        <f t="shared" si="20"/>
        <v>0</v>
      </c>
    </row>
    <row r="272" spans="2:5" ht="15">
      <c r="B272" s="1" t="s">
        <v>4</v>
      </c>
      <c r="C272" s="3">
        <v>50</v>
      </c>
      <c r="D272" s="18">
        <v>0</v>
      </c>
      <c r="E272" s="23">
        <f t="shared" si="2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Weiss</dc:creator>
  <cp:keywords/>
  <dc:description/>
  <cp:lastModifiedBy>Becky</cp:lastModifiedBy>
  <cp:lastPrinted>2011-12-21T21:13:33Z</cp:lastPrinted>
  <dcterms:created xsi:type="dcterms:W3CDTF">2011-08-30T16:37:03Z</dcterms:created>
  <dcterms:modified xsi:type="dcterms:W3CDTF">2013-04-18T14:09:45Z</dcterms:modified>
  <cp:category/>
  <cp:version/>
  <cp:contentType/>
  <cp:contentStatus/>
</cp:coreProperties>
</file>